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00.xml" ContentType="application/vnd.openxmlformats-officedocument.spreadsheetml.table+xml"/>
  <Override PartName="/xl/tables/table101.xml" ContentType="application/vnd.openxmlformats-officedocument.spreadsheetml.table+xml"/>
  <Override PartName="/xl/tables/table102.xml" ContentType="application/vnd.openxmlformats-officedocument.spreadsheetml.table+xml"/>
  <Override PartName="/xl/tables/table103.xml" ContentType="application/vnd.openxmlformats-officedocument.spreadsheetml.table+xml"/>
  <Override PartName="/xl/tables/table104.xml" ContentType="application/vnd.openxmlformats-officedocument.spreadsheetml.table+xml"/>
  <Override PartName="/xl/tables/table105.xml" ContentType="application/vnd.openxmlformats-officedocument.spreadsheetml.table+xml"/>
  <Override PartName="/xl/tables/table106.xml" ContentType="application/vnd.openxmlformats-officedocument.spreadsheetml.table+xml"/>
  <Override PartName="/xl/tables/table107.xml" ContentType="application/vnd.openxmlformats-officedocument.spreadsheetml.table+xml"/>
  <Override PartName="/xl/tables/table108.xml" ContentType="application/vnd.openxmlformats-officedocument.spreadsheetml.table+xml"/>
  <Override PartName="/xl/tables/table109.xml" ContentType="application/vnd.openxmlformats-officedocument.spreadsheetml.table+xml"/>
  <Override PartName="/xl/tables/table11.xml" ContentType="application/vnd.openxmlformats-officedocument.spreadsheetml.table+xml"/>
  <Override PartName="/xl/tables/table110.xml" ContentType="application/vnd.openxmlformats-officedocument.spreadsheetml.table+xml"/>
  <Override PartName="/xl/tables/table111.xml" ContentType="application/vnd.openxmlformats-officedocument.spreadsheetml.table+xml"/>
  <Override PartName="/xl/tables/table112.xml" ContentType="application/vnd.openxmlformats-officedocument.spreadsheetml.table+xml"/>
  <Override PartName="/xl/tables/table113.xml" ContentType="application/vnd.openxmlformats-officedocument.spreadsheetml.table+xml"/>
  <Override PartName="/xl/tables/table114.xml" ContentType="application/vnd.openxmlformats-officedocument.spreadsheetml.table+xml"/>
  <Override PartName="/xl/tables/table115.xml" ContentType="application/vnd.openxmlformats-officedocument.spreadsheetml.table+xml"/>
  <Override PartName="/xl/tables/table116.xml" ContentType="application/vnd.openxmlformats-officedocument.spreadsheetml.table+xml"/>
  <Override PartName="/xl/tables/table117.xml" ContentType="application/vnd.openxmlformats-officedocument.spreadsheetml.table+xml"/>
  <Override PartName="/xl/tables/table118.xml" ContentType="application/vnd.openxmlformats-officedocument.spreadsheetml.table+xml"/>
  <Override PartName="/xl/tables/table119.xml" ContentType="application/vnd.openxmlformats-officedocument.spreadsheetml.table+xml"/>
  <Override PartName="/xl/tables/table12.xml" ContentType="application/vnd.openxmlformats-officedocument.spreadsheetml.table+xml"/>
  <Override PartName="/xl/tables/table120.xml" ContentType="application/vnd.openxmlformats-officedocument.spreadsheetml.table+xml"/>
  <Override PartName="/xl/tables/table121.xml" ContentType="application/vnd.openxmlformats-officedocument.spreadsheetml.table+xml"/>
  <Override PartName="/xl/tables/table12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tables/table98.xml" ContentType="application/vnd.openxmlformats-officedocument.spreadsheetml.table+xml"/>
  <Override PartName="/xl/tables/table9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8800" windowHeight="12465" tabRatio="500" firstSheet="8" activeTab="10"/>
  </bookViews>
  <sheets>
    <sheet name="Orientações" sheetId="1" state="hidden" r:id="rId1"/>
    <sheet name="Servente" sheetId="2" state="hidden" r:id="rId2"/>
    <sheet name="Auxiliar Administrativo" sheetId="11" r:id="rId3"/>
    <sheet name="Portaria" sheetId="5" r:id="rId4"/>
    <sheet name="Motorista Interestadual" sheetId="8" r:id="rId5"/>
    <sheet name="Eletricista" sheetId="16" r:id="rId6"/>
    <sheet name="Pedreiro" sheetId="18" r:id="rId7"/>
    <sheet name="Pintor" sheetId="17" r:id="rId8"/>
    <sheet name="Técnico em Refrigeração" sheetId="20" r:id="rId9"/>
    <sheet name="Jardineiro" sheetId="19" r:id="rId10"/>
    <sheet name="Diárias" sheetId="15" r:id="rId11"/>
    <sheet name="Uniformes" sheetId="12" r:id="rId12"/>
    <sheet name="Materiais e Equipamentos" sheetId="14" r:id="rId13"/>
    <sheet name="EPC" sheetId="21" r:id="rId14"/>
    <sheet name="RESUMO" sheetId="13" r:id="rId15"/>
  </sheets>
  <definedNames>
    <definedName name="SalarioBase">Servente!$D$5</definedName>
    <definedName name="Salário_Normativo_da_Categoria_Profissional">Servente!$D$5</definedName>
    <definedName name="Total1">Servente!#REF!</definedName>
    <definedName name="Total2.1">Servente!#REF!</definedName>
    <definedName name="Total2.2">Servente!#REF!</definedName>
    <definedName name="Total2.3">Servente!#REF!</definedName>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s>
  <calcPr calcId="144525"/>
</workbook>
</file>

<file path=xl/sharedStrings.xml><?xml version="1.0" encoding="utf-8"?>
<sst xmlns="http://schemas.openxmlformats.org/spreadsheetml/2006/main" count="3086" uniqueCount="495">
  <si>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</si>
  <si>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</si>
  <si>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</si>
  <si>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</si>
  <si>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</si>
  <si>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</si>
  <si>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</si>
  <si>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</si>
  <si>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</si>
  <si>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</si>
  <si>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</si>
  <si>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</si>
  <si>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</si>
  <si>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</si>
  <si>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</si>
  <si>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</si>
  <si>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</si>
  <si>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</si>
  <si>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</si>
  <si>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</si>
  <si>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</si>
  <si>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</si>
  <si>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</si>
  <si>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</si>
  <si>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</si>
  <si>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</si>
  <si>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</si>
  <si>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</si>
  <si>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</si>
  <si>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</si>
  <si>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</si>
  <si>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</si>
  <si>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</si>
  <si>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</si>
  <si>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</si>
  <si>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</si>
  <si>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</si>
  <si>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</si>
  <si>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</si>
  <si>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</si>
  <si>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</si>
  <si>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</si>
  <si>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</si>
  <si>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</si>
  <si>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</si>
  <si>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</si>
  <si>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</si>
  <si>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</si>
  <si>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</si>
  <si>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</si>
  <si>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</si>
  <si>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</si>
  <si>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</si>
  <si>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</si>
  <si>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</si>
  <si>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</si>
  <si>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</si>
  <si>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</si>
  <si>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</si>
  <si>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</si>
  <si>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</si>
  <si>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</si>
  <si>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</si>
  <si>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</si>
  <si>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</si>
  <si>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</si>
  <si>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</si>
  <si>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</si>
  <si>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</si>
  <si>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</si>
  <si>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</si>
  <si>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</si>
  <si>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</si>
  <si>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</si>
  <si>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</si>
  <si>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</si>
  <si>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</si>
  <si>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</si>
  <si>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</si>
  <si>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</si>
  <si>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</si>
  <si>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</si>
  <si>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</si>
  <si>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</si>
  <si>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</si>
  <si>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</si>
  <si>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</si>
  <si>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</si>
  <si>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</si>
  <si>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</si>
  <si>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</si>
  <si>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</si>
  <si>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</si>
  <si>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</si>
  <si>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</si>
  <si>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</si>
  <si>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</si>
  <si>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</si>
  <si>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</si>
  <si>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</si>
  <si>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</si>
  <si>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</si>
  <si>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</si>
  <si>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</si>
  <si>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</si>
  <si>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</si>
  <si>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</si>
  <si>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</si>
  <si>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</si>
  <si>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</si>
  <si>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</si>
  <si>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</si>
  <si>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</si>
  <si>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</si>
  <si>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</si>
  <si>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</si>
  <si>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</si>
  <si>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</si>
  <si>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</si>
  <si>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</si>
  <si>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</si>
  <si>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</si>
  <si>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</si>
  <si>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</si>
  <si>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</si>
  <si>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</si>
  <si>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</si>
  <si>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</si>
  <si>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</si>
  <si>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</si>
  <si>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</si>
  <si>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</si>
  <si>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</si>
  <si>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</si>
  <si>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</si>
  <si>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</si>
  <si>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</si>
  <si>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</si>
  <si>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</si>
  <si>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</si>
  <si>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</si>
  <si>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</si>
  <si>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</si>
  <si>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</si>
  <si>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</si>
  <si>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</si>
  <si>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</si>
  <si>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</si>
  <si>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</si>
  <si>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</si>
  <si>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</si>
  <si>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</si>
  <si>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</si>
  <si>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</si>
  <si>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</si>
  <si>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</si>
  <si>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</si>
  <si>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</si>
  <si>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</si>
  <si>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</si>
  <si>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</si>
  <si>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</si>
  <si>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</si>
  <si>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DE CUSTOS E FORMAÇÃO DE PREÇOS</t>
  </si>
  <si>
    <r>
      <rPr>
        <b/>
        <sz val="11"/>
        <color rgb="FF000000"/>
        <rFont val="Calibri"/>
        <charset val="134"/>
      </rPr>
      <t xml:space="preserve">Processo Administrativo n.° </t>
    </r>
    <r>
      <rPr>
        <sz val="11"/>
        <color rgb="FF000000"/>
        <rFont val="Calibri"/>
        <charset val="134"/>
      </rPr>
      <t>23381.004959.2021-15</t>
    </r>
  </si>
  <si>
    <t>Licitação n°</t>
  </si>
  <si>
    <t>005/2021</t>
  </si>
  <si>
    <t>Discriminação dos Serviços (Dados Referente à Contratação)</t>
  </si>
  <si>
    <t>Data -  Apresentação da Proposta</t>
  </si>
  <si>
    <t>....../......./20.......</t>
  </si>
  <si>
    <t>Município - ISSQN</t>
  </si>
  <si>
    <t>ISSQN 5 % (cinco por cento)</t>
  </si>
  <si>
    <t>Ano Acordo, Convenção ou Dissídio Coletivo</t>
  </si>
  <si>
    <t>CCT PB000047/2021</t>
  </si>
  <si>
    <t>Número de Meses de Execução Contratual</t>
  </si>
  <si>
    <t>12 (doze) meses</t>
  </si>
  <si>
    <t>Identificação do Serviço</t>
  </si>
  <si>
    <t>Tipo de Serviço</t>
  </si>
  <si>
    <t>Unidade de Medida</t>
  </si>
  <si>
    <t>Quantidade Total a Contratar</t>
  </si>
  <si>
    <t>Auxiliar Administrativo</t>
  </si>
  <si>
    <t>44 horas</t>
  </si>
  <si>
    <t>MTE</t>
  </si>
  <si>
    <t>4110-10</t>
  </si>
  <si>
    <t>SEAC-PB</t>
  </si>
  <si>
    <t>01/JANEIRO</t>
  </si>
  <si>
    <t>GRUPO IV</t>
  </si>
  <si>
    <t>BASE DE CÁLCULO PARA O SUBMÓDULO 2.2</t>
  </si>
  <si>
    <t>MÓDULO 1</t>
  </si>
  <si>
    <t>MÓDULO 2.1</t>
  </si>
  <si>
    <t>TOTAL</t>
  </si>
  <si>
    <t>SAT (+FAP de 0,5 a 2,0) (Variação: 0,5% a 6 %)</t>
  </si>
  <si>
    <r>
      <rPr>
        <sz val="11"/>
        <color rgb="FF000000"/>
        <rFont val="Calibri"/>
        <charset val="134"/>
      </rPr>
      <t>Intervalo Intrajornada (</t>
    </r>
    <r>
      <rPr>
        <sz val="10"/>
        <color rgb="FF000000"/>
        <rFont val="Calibri"/>
        <charset val="134"/>
      </rPr>
      <t>não usufruído pelo empregado</t>
    </r>
    <r>
      <rPr>
        <sz val="11"/>
        <color rgb="FF000000"/>
        <rFont val="Calibri"/>
        <charset val="134"/>
      </rPr>
      <t>)</t>
    </r>
  </si>
  <si>
    <t>Benefício Odontológico</t>
  </si>
  <si>
    <t>Auxílio Morte/Funeral</t>
  </si>
  <si>
    <t>Incidência de GPS, FGTS e outras contribuições sobre o Aviso Prévio Trabalhado</t>
  </si>
  <si>
    <t>BASE DE CÁLCULO PARA O MÓDULO 4</t>
  </si>
  <si>
    <t>MÓDULO 2</t>
  </si>
  <si>
    <t>MÓDULO 3</t>
  </si>
  <si>
    <t>Substituto na cobertura de 13º (décimo terceiro) Salário, Férias e Adicional de Férias</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</si>
  <si>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</si>
  <si>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</si>
  <si>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</si>
  <si>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</si>
  <si>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Uniformes e Equipamento de Proteção Individual - EPI</t>
  </si>
  <si>
    <t>Equipamentos de Proteção Coletiva - EPC</t>
  </si>
  <si>
    <t>Diárias</t>
  </si>
  <si>
    <t>BASE DE CÁLCULO PARA O MÓDULO 6</t>
  </si>
  <si>
    <t>MÓDULO 4</t>
  </si>
  <si>
    <t>MÓDULO 5</t>
  </si>
  <si>
    <t>CÁLCULO POR DENTRO</t>
  </si>
  <si>
    <t>TOTAL DOS TRIBUTOS</t>
  </si>
  <si>
    <t>BASE DE CÁLCULO</t>
  </si>
  <si>
    <t>ÍNDICE</t>
  </si>
  <si>
    <t>C.1 - PIS</t>
  </si>
  <si>
    <t>C.2 - COFINS</t>
  </si>
  <si>
    <t>C.3 - ISS</t>
  </si>
  <si>
    <t>VALOR TOTAL POR EMPREGADO</t>
  </si>
  <si>
    <t>Agente de Portaria</t>
  </si>
  <si>
    <t>Posto 12 x 36 horas</t>
  </si>
  <si>
    <t>5174-15</t>
  </si>
  <si>
    <t>GRUPO III</t>
  </si>
  <si>
    <t>VALOR TOTAL DO POSTO</t>
  </si>
  <si>
    <t>CCT PB000035/2019*</t>
  </si>
  <si>
    <t>Motorista Interestadual</t>
  </si>
  <si>
    <t>7823-05</t>
  </si>
  <si>
    <t>SMTTRPC-PB</t>
  </si>
  <si>
    <t>* A presente CCT PB000035/2019 não encontra-se vigente, mas corresponde à CCT a qual o atual contrato, junto à Administração, encontra-se vinculado.</t>
  </si>
  <si>
    <r>
      <rPr>
        <b/>
        <sz val="11"/>
        <rFont val="Calibri"/>
        <charset val="134"/>
      </rPr>
      <t xml:space="preserve">Processo Administrativo n.° </t>
    </r>
    <r>
      <rPr>
        <sz val="11"/>
        <rFont val="Calibri"/>
        <charset val="134"/>
      </rPr>
      <t>23381.004959.2021-15</t>
    </r>
  </si>
  <si>
    <t>CCT PB 000047/2021</t>
  </si>
  <si>
    <t>Eletricista</t>
  </si>
  <si>
    <t>7156-10</t>
  </si>
  <si>
    <t>GRUPO VIII</t>
  </si>
  <si>
    <t>Lei n.° 12.740/2012 – NR 16 Anexo IV</t>
  </si>
  <si>
    <r>
      <rPr>
        <sz val="11"/>
        <rFont val="Calibri"/>
        <charset val="134"/>
      </rPr>
      <t>Intervalo Intrajornada (</t>
    </r>
    <r>
      <rPr>
        <sz val="10"/>
        <rFont val="Calibri"/>
        <charset val="134"/>
      </rPr>
      <t>não usufruído pelo empregado</t>
    </r>
    <r>
      <rPr>
        <sz val="11"/>
        <rFont val="Calibri"/>
        <charset val="134"/>
      </rPr>
      <t>)</t>
    </r>
  </si>
  <si>
    <t>Pedreiro</t>
  </si>
  <si>
    <t>7152-10</t>
  </si>
  <si>
    <t>Pintor</t>
  </si>
  <si>
    <t>7166-10</t>
  </si>
  <si>
    <t>Técnico Mecânico em Refrigeração</t>
  </si>
  <si>
    <t>7257-05</t>
  </si>
  <si>
    <t>DIÁRIAS</t>
  </si>
  <si>
    <t>QUANTIDADE (ANUAL)</t>
  </si>
  <si>
    <t>VALOR UNITÁRIO</t>
  </si>
  <si>
    <t>VALOR TOTAL</t>
  </si>
  <si>
    <t>Com Pernoite*</t>
  </si>
  <si>
    <t>Sem Pernoite*</t>
  </si>
  <si>
    <t>VALOR TOTAL MENSAL</t>
  </si>
  <si>
    <t>Acórdão 2.171/2005-TCU-Plenário</t>
  </si>
  <si>
    <t>* Valores estabelecidos em conformidade com as disposição da CCT n.° PB 000047/2021</t>
  </si>
  <si>
    <t>Jardineiro</t>
  </si>
  <si>
    <t>6220-10</t>
  </si>
  <si>
    <t>DIÁRIAS - MOTORISTA(S)</t>
  </si>
  <si>
    <t>QUANTIDADE ESTIMADA ANUAL DE DIÁRIAS</t>
  </si>
  <si>
    <t>VALOR TOTAL ESTIMADO</t>
  </si>
  <si>
    <t>(A)</t>
  </si>
  <si>
    <t>(B)</t>
  </si>
  <si>
    <t>(C)=(A) X (B)</t>
  </si>
  <si>
    <t>TRIBUTAÇÃO INCIDENTE</t>
  </si>
  <si>
    <t>FATURAMENTO</t>
  </si>
  <si>
    <t>COEFICIENTE</t>
  </si>
  <si>
    <t>CUSTOS INDIRETOS E LUCRO</t>
  </si>
  <si>
    <t>PERCENTUAL</t>
  </si>
  <si>
    <t>VALOR</t>
  </si>
  <si>
    <t>CUSTOS INDIRETOS</t>
  </si>
  <si>
    <t>LUCRO</t>
  </si>
  <si>
    <t>SUBTOTAL</t>
  </si>
  <si>
    <t>TRIBUTOS SOBRE O FATURAMENTO*</t>
  </si>
  <si>
    <t>VALOR**</t>
  </si>
  <si>
    <t>*FATURAMENTO: Considera-se faturamento para o cálculo dos tributos: o valor da diária + (custos indiretos e lucro). Ex.: Os tributos foram
calculados por dentro utilizando o coeficiente (1 - 8,65% = 91,35% ou 0,9135).</t>
  </si>
  <si>
    <t>**((Vr. faturamento) / (0,9135)) x Percentual da alíquota do tributo.</t>
  </si>
  <si>
    <t>UNIFORMES</t>
  </si>
  <si>
    <t>AUXILIAR ADMINISTRATIVO</t>
  </si>
  <si>
    <t>ITEM</t>
  </si>
  <si>
    <t>PEÇA</t>
  </si>
  <si>
    <t>DESCRIÇÃO</t>
  </si>
  <si>
    <t>UNIDADE</t>
  </si>
  <si>
    <t>VALOR MÉDIO UNITÁRIO (R$)</t>
  </si>
  <si>
    <t>QUANTIDADE ANUAL</t>
  </si>
  <si>
    <t>VALOR ANUAL POR EMPREGADO (R$)</t>
  </si>
  <si>
    <t>VALOR MENSAL POR EMPREGADO (R$)</t>
  </si>
  <si>
    <t>CALÇA</t>
  </si>
  <si>
    <t>Calça ou Saia social, na cor preta, em tecido de poliviscose.</t>
  </si>
  <si>
    <t>Unidade</t>
  </si>
  <si>
    <t>BLAZER</t>
  </si>
  <si>
    <t>Blazer social de mangas longas, abotoamento frontal contendo a identificação da Contratada.</t>
  </si>
  <si>
    <t>CAMISA</t>
  </si>
  <si>
    <t>Camisa social, na cor branca, de mangas  3/4, tecido com o mínimo de 50% de fibras naturais, contendo a identificação da Contratada.</t>
  </si>
  <si>
    <t>Camisa tipo Polo em Piquet de Malha – 50% algodão e 50% poliéster,  com mangas curtas, identificação da empresa na parte frontal, na cor Branca.</t>
  </si>
  <si>
    <t>CALÇADO</t>
  </si>
  <si>
    <t>Sapato em couro, na cor preta, solado antiderrapante.</t>
  </si>
  <si>
    <t>Par</t>
  </si>
  <si>
    <t>MEIA</t>
  </si>
  <si>
    <t>Meia, modelo cano alto , composição: 88% Algodão, 2% Lycra e 10% Poliamida, na cor preta.</t>
  </si>
  <si>
    <t>CRACHÁ</t>
  </si>
  <si>
    <t xml:space="preserve"> Crachá de identiﬁcação, em plástico rígido, contendo logomarca da empresa, foto e nome completo do funcionário.</t>
  </si>
  <si>
    <t>PORTEIRO</t>
  </si>
  <si>
    <t>CAPA PARA CHUVA</t>
  </si>
  <si>
    <t>Capa para chuva, em material plástico, cor preta com faixas fluorescentes.</t>
  </si>
  <si>
    <t>MOTORISTA INTERMUNICIPAL E INTERESTADUAL</t>
  </si>
  <si>
    <t>Calça social, na cor preta, em tecido de poliviscose.</t>
  </si>
  <si>
    <t>MANGUITO PROTEÇÃO UV</t>
  </si>
  <si>
    <t>Manguito Proteção UV 50: Dimensões Aproximadas: P: 9x27,7 cm (L x C), G: 9,5x41 cm (L x P), Composição: 94% Poliamida e 6% Elastano; Proteção UV, Antimicrobial, Seamless Dry, Proteção Solar: Com FPS; na cor preta.</t>
  </si>
  <si>
    <t>UNIFORMES E EQUIPAMENTOS DE PROTEÇÃO INDIVIDUAL E COLETIVO</t>
  </si>
  <si>
    <t>ELETRICISTA</t>
  </si>
  <si>
    <t>Calça com cós de elástico, dois bolsos frontais e dois bolsos na traseira, confeccionado em tecido 100% algodão com tratamento retardante a chama, sem partes metálicas, com fitas refletivas nas pernas.</t>
  </si>
  <si>
    <t>Camisa com gola tipo italiana, com mangas longas e punhos americanos, com fitas refletivas na altura dos ombros e costas e identificação da empresa na parte frontal, confeccionadas em tecido 100% algodão com tratamento retardante a chama.</t>
  </si>
  <si>
    <t>BONÉ</t>
  </si>
  <si>
    <t>Boné árabe em brim 100% algodão para proteção da face em trabalhos a céu aberto.</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</si>
  <si>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</si>
  <si>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CAPACETE</t>
  </si>
  <si>
    <t>Capacete de segurança, tipo II classe B, aba frontal, injetados em material plástico, com carneira com ajuste traseiro e aranha, tira de suor confeccionada em TNT dublado com espuma, com jugular confeccionada com tecido de nylon e ajuste através de passador plástico, cor laranja, com selo de marcação do INMETRO.</t>
  </si>
  <si>
    <t>CINTO DE SEGURANÇA</t>
  </si>
  <si>
    <t>Conjunto cinto de segurança tipo paraquedista com talabarte duplo e kit trava queda (o cinto de segurança e o talabarte deverão ter o mesmo C.A.)</t>
  </si>
  <si>
    <t>Conjunto</t>
  </si>
  <si>
    <t>LUVA</t>
  </si>
  <si>
    <t>Luva de segurança isolante em borracha para alta tensão 20Kv, classe 2, para tensão máxima de uso até 17.000V.</t>
  </si>
  <si>
    <t>Luva de segurança confeccionada em malha tricotada 4 fios algodão, palma com pigmento de PVC, cano curto, para uso em serviços gerais.</t>
  </si>
  <si>
    <t>ÓCULOS</t>
  </si>
  <si>
    <t>Óculos de proteção individual com lentes incolor, armação em policarbonato, lente em policarbonato, anti-embaçante e anti-risco. Modelo de sobreposição (p/ser usado sobre óculos graduados).</t>
  </si>
  <si>
    <t>PROTETOR AURICULAR</t>
  </si>
  <si>
    <t>Protetor auricular, tipo plug de três flanges, material silicone, características adicionais anti-alérgico/atóxico.</t>
  </si>
  <si>
    <t>PROTETOR SOLAR</t>
  </si>
  <si>
    <t>Protetor solar fator de proteção FPS 30 ou superior.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</si>
  <si>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</si>
  <si>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</si>
  <si>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PEDREIRO</t>
  </si>
  <si>
    <t>Calça com cós de elástico, dois bolsos frontais e dois bolsos na traseira, confeccionado em brim 100% algodão, sem partes metálicas.</t>
  </si>
  <si>
    <t>Camisa com gola tipo italiana, com mangas curtas, identificação da empresa na parte frontal, confeccionada em brim 100% algodão.</t>
  </si>
  <si>
    <r>
      <rPr>
        <i/>
        <sz val="11"/>
        <rFont val="Carlito"/>
        <charset val="134"/>
      </rPr>
      <t>Calçado de segurança tipo botina, confeccionado em couro vaqueta, fechamento em elástico, com biqueira de aço, solado em poliuretano</t>
    </r>
    <r>
      <rPr>
        <i/>
        <sz val="11"/>
        <rFont val="Arial"/>
        <charset val="134"/>
      </rPr>
      <t> </t>
    </r>
    <r>
      <rPr>
        <i/>
        <sz val="11"/>
        <rFont val="Carlito"/>
        <charset val="134"/>
      </rPr>
      <t>bidensidade.</t>
    </r>
  </si>
  <si>
    <r>
      <rPr>
        <i/>
        <sz val="11"/>
        <rFont val="Carlito"/>
        <charset val="134"/>
      </rPr>
      <t>Calçado ocupacional de uso profissional, tipo bota PVC cano longo, impermeável, confeccionado em policloreto de vinila (PVC), com resistência química, sem biqueira, propriedades antiderrapantes,</t>
    </r>
    <r>
      <rPr>
        <i/>
        <sz val="11"/>
        <rFont val="Arial"/>
        <charset val="134"/>
      </rPr>
      <t> </t>
    </r>
    <r>
      <rPr>
        <i/>
        <sz val="11"/>
        <rFont val="Carlito"/>
        <charset val="134"/>
      </rPr>
      <t>para uso em locais alagadiços.</t>
    </r>
  </si>
  <si>
    <t>Capacete de segurança, tipo II classe A, aba frontal, com carneira e jugular. Regulagem de tamanho através de ajuste simples, cor azul, com selo de marcação do INMETRO.</t>
  </si>
  <si>
    <t>PINTOR</t>
  </si>
  <si>
    <t>TÉCNICO MECÂNICO EM REFRIGERAÇÃO</t>
  </si>
  <si>
    <t>JARDINEIRO</t>
  </si>
  <si>
    <t>CAPA DE CHUVA</t>
  </si>
  <si>
    <t>Capa de chuva confeccionada em PVC com forro de poliéster, com mangas, capuz conjugado, fechamento frontal por meio de botões, fechamento das costuras através de solda eletrônica.</t>
  </si>
  <si>
    <t>Materiais - Posto de Serviços de Agente de Portaria</t>
  </si>
  <si>
    <t>Peça</t>
  </si>
  <si>
    <t>Valor Médio Unitário (R$)</t>
  </si>
  <si>
    <t>Quantidade Anual</t>
  </si>
  <si>
    <t>Valor Anual/ Empregado (R$)</t>
  </si>
  <si>
    <t>Valor Mensal/ Empregado</t>
  </si>
  <si>
    <t>Livro de ocorrências</t>
  </si>
  <si>
    <t>Livro Termo de Ocorrência, capa dura, medindo aproximadamente 22x33 cm, com 50 folhas.</t>
  </si>
  <si>
    <t>Caneta esferográfica</t>
  </si>
  <si>
    <t>Caneta esferográfica, material plástico, ponteira esfera de tugstênio, tipo escrita média, cor tinta AZUL, características adicionais: atóxica, corpo cilindrico</t>
  </si>
  <si>
    <t>Prancheta</t>
  </si>
  <si>
    <t>PRANCHETA em acrílico, com prendedor metálico, formato oficio 2, dimensões 216 x 330 mm</t>
  </si>
  <si>
    <t>MATERIAIS</t>
  </si>
  <si>
    <t>QUANTIDADE</t>
  </si>
  <si>
    <t>Alicate universal 8”</t>
  </si>
  <si>
    <t>UND</t>
  </si>
  <si>
    <t>Alicate de pressão 8”</t>
  </si>
  <si>
    <t>Alicate de corte 10”</t>
  </si>
  <si>
    <t>Alicate de bico 10”</t>
  </si>
  <si>
    <t>Chave de fenda grande</t>
  </si>
  <si>
    <t>Chaves de fenda média</t>
  </si>
  <si>
    <t>Chave de fenda pequena</t>
  </si>
  <si>
    <t>Chave Philips grande</t>
  </si>
  <si>
    <t>Chaves Philips pequena</t>
  </si>
  <si>
    <t>Chave para teste elétrico</t>
  </si>
  <si>
    <t>Chave inglesa 12"</t>
  </si>
  <si>
    <t>Jogo de chave Allen</t>
  </si>
  <si>
    <t>Jogo de chave boca/estria de 3/8”a 1”</t>
  </si>
  <si>
    <t>Jogo de chave de encaixe de 3/8”a 1 ¼”</t>
  </si>
  <si>
    <t>Jogo de brocas videa de 3,5 mm a 9,5 mm</t>
  </si>
  <si>
    <t>Jogo de brocas de aço rápido de 1/16” a 3/16”</t>
  </si>
  <si>
    <t>Estilete</t>
  </si>
  <si>
    <t>Arco de serra</t>
  </si>
  <si>
    <t>Alicate de papagaio</t>
  </si>
  <si>
    <t>Chave de grifa 18”</t>
  </si>
  <si>
    <t>Martelo bola de ½ kg</t>
  </si>
  <si>
    <t>Marreta de ½ kg</t>
  </si>
  <si>
    <t>Marreta de 1 kg</t>
  </si>
  <si>
    <t>Talhadeira de 6”</t>
  </si>
  <si>
    <t>Talhadeira de 8”</t>
  </si>
  <si>
    <t>Tesoura para chapa de alumínio</t>
  </si>
  <si>
    <t>Pá quadrada</t>
  </si>
  <si>
    <t>Enxada</t>
  </si>
  <si>
    <t>Chibanca</t>
  </si>
  <si>
    <t>Picareta</t>
  </si>
  <si>
    <t>Alavanca</t>
  </si>
  <si>
    <t>Peneira para areia</t>
  </si>
  <si>
    <t>Marretas de borracha para cerâmica</t>
  </si>
  <si>
    <t>Régua de alumínio</t>
  </si>
  <si>
    <t>Prumo</t>
  </si>
  <si>
    <t>Escalas métrica</t>
  </si>
  <si>
    <t>Colher para pedreiro</t>
  </si>
  <si>
    <t>Ponteiro</t>
  </si>
  <si>
    <t>Torquês</t>
  </si>
  <si>
    <t>Esquadro</t>
  </si>
  <si>
    <t>Bobina de linha de náilon</t>
  </si>
  <si>
    <t>Desempenadeira de madeira</t>
  </si>
  <si>
    <t>Desempenadeira de aço</t>
  </si>
  <si>
    <t>Pé de cabra</t>
  </si>
  <si>
    <t>Nível de alumínio</t>
  </si>
  <si>
    <t>Nível de mangueira transparente</t>
  </si>
  <si>
    <t>Trena métrica de 30m</t>
  </si>
  <si>
    <t>Diamante manual para corte de cerâmica</t>
  </si>
  <si>
    <t>Pincéis de pêlo</t>
  </si>
  <si>
    <t>Bandeja para pintura</t>
  </si>
  <si>
    <t>Rolos de esponja para pintura látex</t>
  </si>
  <si>
    <t>Rolos de lã para pintura látex</t>
  </si>
  <si>
    <t>Rolos de borracha para pintura texturizada</t>
  </si>
  <si>
    <t>Broxa</t>
  </si>
  <si>
    <t>Espátula de metal</t>
  </si>
  <si>
    <t>Espátula de metal dentada</t>
  </si>
  <si>
    <t>Pazinha larga para vazo 30cm</t>
  </si>
  <si>
    <t>Garfo largo 24cm</t>
  </si>
  <si>
    <t>Escardilho</t>
  </si>
  <si>
    <t>Tesoura para colheita e poda</t>
  </si>
  <si>
    <t>Tesoura de poda de cerca viva e grama</t>
  </si>
  <si>
    <t>Serrote Poda dobrável 30cm madeira</t>
  </si>
  <si>
    <t>Vassoura para Grama de metal - 18 dentes</t>
  </si>
  <si>
    <t>Pá Cavadeira Articulada-cabo 110 mm</t>
  </si>
  <si>
    <t>Facão 14” para mato cabo de madeira</t>
  </si>
  <si>
    <t>Carrinho de mão 60 l com rodas de borracha</t>
  </si>
  <si>
    <t>Pá de bico nº 3 com cabo</t>
  </si>
  <si>
    <t>Desentupidor de pia</t>
  </si>
  <si>
    <t>Desentupidor de vaso</t>
  </si>
  <si>
    <t>Desentupidor espiral</t>
  </si>
  <si>
    <t>Extensão elétrica 10 m</t>
  </si>
  <si>
    <t>Ferro de solda</t>
  </si>
  <si>
    <t>Lanternas holofote recarregável de Led</t>
  </si>
  <si>
    <t>Multiteste eletrônico</t>
  </si>
  <si>
    <t>Pente de Aletas</t>
  </si>
  <si>
    <t>Termômetro</t>
  </si>
  <si>
    <t>Chave Catraca</t>
  </si>
  <si>
    <t>Conjunto Serra Copo</t>
  </si>
  <si>
    <t>Cortador de Tubo</t>
  </si>
  <si>
    <t>Curvador de Tubo</t>
  </si>
  <si>
    <t>QUANTIDADE DE PROFISSIONAIS EMPREGADOS NA EXECUÇÃO DOS SERVIÇOS DE MANUTENÇÃO</t>
  </si>
  <si>
    <t>VALOR MENSAL POR EMPREGADO</t>
  </si>
  <si>
    <t>EQUIPAMENTOS</t>
  </si>
  <si>
    <t>Alicate voltímetro e Amperímetro digital</t>
  </si>
  <si>
    <t>Escada de fibra de vidro extensível com corda 5,70 X 10,20 m</t>
  </si>
  <si>
    <t>Máquina manual para corte de cerâmica</t>
  </si>
  <si>
    <t>Chave de grifa 36”</t>
  </si>
  <si>
    <t>Andaime tubular de ferro com sapata e roda</t>
  </si>
  <si>
    <t>Compressor portátil</t>
  </si>
  <si>
    <t>Furadeira elétrica impacto profissional</t>
  </si>
  <si>
    <t>Lixadeira elétrica</t>
  </si>
  <si>
    <t>Moto esmeril bancada</t>
  </si>
  <si>
    <t>Serra para mármore (makita)</t>
  </si>
  <si>
    <t>Serra tico-tico</t>
  </si>
  <si>
    <t>Torno</t>
  </si>
  <si>
    <t>Lavadora de Alta Pressão 1500 W</t>
  </si>
  <si>
    <t>Aspirador de Pó</t>
  </si>
  <si>
    <t>Bomba de vácuo</t>
  </si>
  <si>
    <t>Conjunto Manifold</t>
  </si>
  <si>
    <t>Vacuômetro</t>
  </si>
  <si>
    <t>Detector de Vazamentos</t>
  </si>
  <si>
    <t>Maçarico Portátil</t>
  </si>
  <si>
    <t>Capacímetro</t>
  </si>
  <si>
    <t>Manutenção mensal</t>
  </si>
  <si>
    <t>Depreciação mensal</t>
  </si>
  <si>
    <t>Custo Total dos equipamentos (Manutenção + Depreciação)</t>
  </si>
  <si>
    <r>
      <rPr>
        <b/>
        <sz val="11"/>
        <color theme="1"/>
        <rFont val="Arial"/>
        <charset val="134"/>
      </rPr>
      <t>Manutenção de Equipamentos</t>
    </r>
    <r>
      <rPr>
        <sz val="11"/>
        <color theme="1"/>
        <rFont val="Arial"/>
        <charset val="134"/>
      </rPr>
      <t xml:space="preserve">: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
M= k x 83 x V0/VU, onde:
M = custo de manutenção mensal
K = 0,6 (conforme adotado pelo Sicro2 /DNIT – Manual de Custos Rodoviários – Volume 1, página 83);
VU = Vida Útil = 10.000 horas
V0 = Valor de aquisição do equipamento Assim:
Manutenção Mensal = Valor total dos equipamentos (ANEXO IV) x 0,5% a.m.;
</t>
    </r>
    <r>
      <rPr>
        <b/>
        <sz val="11"/>
        <color theme="1"/>
        <rFont val="Arial"/>
        <charset val="134"/>
      </rPr>
      <t>Depreciação de Equipamentos:</t>
    </r>
    <r>
      <rPr>
        <sz val="11"/>
        <color theme="1"/>
        <rFont val="Arial"/>
        <charset val="134"/>
      </rPr>
      <t xml:space="preserve"> Para o cálculo do insumo Depreciação de Equipamentos, adotou-se vida útil de 8 anos e valor residual de 20%, com base no Manual de Custos Rodoviários do DNIT, volume 1, de 2003.
Depreciação Mensal = [Valor total dos equipamentos x (1,00-0,20)]/(12x8);</t>
    </r>
  </si>
  <si>
    <t>EQUIPAMENTOS DE PROTEÇÃO COLETIVA</t>
  </si>
  <si>
    <t>KIT PRIMEIRO SOCORROS</t>
  </si>
  <si>
    <t>Caixa plástica tipo maleta para acondicionamento do Kit</t>
  </si>
  <si>
    <t>Tesoura sem ponta</t>
  </si>
  <si>
    <t>Luvas de procedimento</t>
  </si>
  <si>
    <t>Caixa com 50 pares</t>
  </si>
  <si>
    <t>Máscara cirúrgica</t>
  </si>
  <si>
    <t>Gazes</t>
  </si>
  <si>
    <t>Pacote</t>
  </si>
  <si>
    <t>Esparadrapo</t>
  </si>
  <si>
    <t>Rolo</t>
  </si>
  <si>
    <t>Atadura de crepe</t>
  </si>
  <si>
    <t>Soro fisiológico SF 0,9% 250 mL</t>
  </si>
  <si>
    <t>Frasco</t>
  </si>
  <si>
    <t>Antisséptico degermante 100ml</t>
  </si>
  <si>
    <t>Corda de segurança em poliamida de 12 mm de diâmetro Rolo com 100 metros</t>
  </si>
  <si>
    <t>Mangas isolantes de borracha Classe 2 (M.T.)</t>
  </si>
  <si>
    <t>Placas de sinalização “Atenção - Em manutenção”</t>
  </si>
  <si>
    <t>Cone em PVC, cor laranja com faixas refletivas, tamanho 75 cm.</t>
  </si>
  <si>
    <t>QUANTIDADE DE PROFISSIONAIS A SEREM CONTRATADOS</t>
  </si>
  <si>
    <t>PLANILHA RESUMO</t>
  </si>
  <si>
    <t>Quantidade</t>
  </si>
  <si>
    <t xml:space="preserve">VIGÊNCIA </t>
  </si>
  <si>
    <t>VALOR UNITÁRIO MÁXIMO ACEITÁVEL</t>
  </si>
  <si>
    <t>VALOR TOTAL MÁXIMO ACEITÁVEL</t>
  </si>
  <si>
    <r>
      <rPr>
        <sz val="11"/>
        <color theme="1"/>
        <rFont val="Calibri"/>
        <charset val="134"/>
        <scheme val="minor"/>
      </rPr>
      <t xml:space="preserve">PRESTAÇÃO DE SERVIÇOS DE APOIO ADMINISTRATIVO - Posto de serviços: </t>
    </r>
    <r>
      <rPr>
        <b/>
        <sz val="11"/>
        <color theme="1"/>
        <rFont val="Calibri"/>
        <charset val="134"/>
        <scheme val="minor"/>
      </rPr>
      <t>AUXILIAR ADMINISTRATIVO - CBO: 4110-10</t>
    </r>
    <r>
      <rPr>
        <sz val="11"/>
        <color theme="1"/>
        <rFont val="Calibri"/>
        <charset val="134"/>
        <scheme val="minor"/>
      </rPr>
      <t>, em jornada semanal de 44 (quarenta e quatro) horas.</t>
    </r>
  </si>
  <si>
    <t>POSTO</t>
  </si>
  <si>
    <r>
      <rPr>
        <sz val="11"/>
        <color theme="1"/>
        <rFont val="Calibri"/>
        <charset val="134"/>
        <scheme val="minor"/>
      </rPr>
      <t xml:space="preserve">PRESTAÇÃO DE SERVIÇOS DE APOIO ADMINISTRATIVO - Posto de serviços: </t>
    </r>
    <r>
      <rPr>
        <b/>
        <sz val="11"/>
        <color theme="1"/>
        <rFont val="Calibri"/>
        <charset val="134"/>
        <scheme val="minor"/>
      </rPr>
      <t>PORTARIA - CBO: 5174-15,</t>
    </r>
    <r>
      <rPr>
        <sz val="11"/>
        <color theme="1"/>
        <rFont val="Calibri"/>
        <charset val="134"/>
        <scheme val="minor"/>
      </rPr>
      <t xml:space="preserve"> em jornada de 12 (doze) horas diurnas, de segunda-feira a domingo, envolvendo 2 (dois) agentes de portarias, em turnos de 12 (doze) x 36 (trinta e seis) horas.</t>
    </r>
  </si>
  <si>
    <r>
      <rPr>
        <sz val="11"/>
        <color theme="1"/>
        <rFont val="Calibri"/>
        <charset val="134"/>
        <scheme val="minor"/>
      </rPr>
      <t xml:space="preserve">PRESTAÇÃO DE SERVIÇOS DE APOIO ADMINISTRATIVO - Posto de serviços: </t>
    </r>
    <r>
      <rPr>
        <b/>
        <sz val="11"/>
        <color theme="1"/>
        <rFont val="Calibri"/>
        <charset val="134"/>
        <scheme val="minor"/>
      </rPr>
      <t>MOTORISTA INTERISTADUAL - CBO: 7823 – 05</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</si>
  <si>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ELETRICISTA - CBO: 7156-10,</t>
    </r>
    <r>
      <rPr>
        <sz val="11"/>
        <color theme="1"/>
        <rFont val="Calibri"/>
        <charset val="134"/>
        <scheme val="minor"/>
      </rPr>
      <t xml:space="preserve">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</si>
  <si>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PEDREIRO - CBO 7152-10</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</si>
  <si>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PINTOR - CBO 7166-10</t>
    </r>
    <r>
      <rPr>
        <sz val="11"/>
        <color theme="1"/>
        <rFont val="Calibri"/>
        <charset val="134"/>
        <scheme val="minor"/>
      </rPr>
      <t>, em jornada semanal de 44 (quarenta e quatro) horas.</t>
    </r>
  </si>
  <si>
    <r>
      <rPr>
        <sz val="11"/>
        <color theme="1"/>
        <rFont val="Calibri"/>
        <charset val="134"/>
        <scheme val="minor"/>
      </rPr>
      <t>PRESTAÇÃO DE SERVIÇOS DE APOIO ADMINISTRATIVO - Posto de serviços:</t>
    </r>
    <r>
      <rPr>
        <b/>
        <sz val="11"/>
        <color theme="1"/>
        <rFont val="Calibri"/>
        <charset val="134"/>
        <scheme val="minor"/>
      </rPr>
      <t xml:space="preserve"> TÉCNICO MECÂNICO EM REFRIGERAÇÃO - CBO 7257-05</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</si>
  <si>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JARDINEIRO - CBO 6220-10</t>
    </r>
    <r>
      <rPr>
        <sz val="11"/>
        <color theme="1"/>
        <rFont val="Calibri"/>
        <charset val="134"/>
        <scheme val="minor"/>
      </rPr>
      <t>, em jornada semanal de 44 (quarenta e quatro) horas.</t>
    </r>
  </si>
  <si>
    <t>PAGAMENTO DE DIÁRIAS NACONAIS - Destinada aos Prestadores de Serviços Qualificados como Motoristas Interestaduais e ou Intermunicipais.</t>
  </si>
  <si>
    <t>DIÁRIA</t>
  </si>
</sst>
</file>

<file path=xl/styles.xml><?xml version="1.0" encoding="utf-8"?>
<styleSheet xmlns="http://schemas.openxmlformats.org/spreadsheetml/2006/main">
  <numFmts count="13">
    <numFmt numFmtId="176" formatCode="&quot;R$&quot;\ #,##0.00_);[Red]\(&quot;R$&quot;\ #,##0.00\)"/>
    <numFmt numFmtId="177" formatCode="_-&quot;R$&quot;* #,##0_-;\-&quot;R$&quot;* #,##0_-;_-&quot;R$&quot;* &quot;-&quot;_-;_-@_-"/>
    <numFmt numFmtId="178" formatCode="&quot;R$&quot;#,##0.00_);[Red]\(&quot;R$&quot;#,##0.00\)"/>
    <numFmt numFmtId="179" formatCode="0.0000_ "/>
    <numFmt numFmtId="180" formatCode="_-* #,##0.00_-;\-* #,##0.00_-;_-* &quot;-&quot;??_-;_-@_-"/>
    <numFmt numFmtId="181" formatCode="_-* #,##0_-;\-* #,##0_-;_-* &quot;-&quot;_-;_-@_-"/>
    <numFmt numFmtId="182" formatCode="_-&quot;R$ &quot;* #,##0.00_-;&quot;-R$ &quot;* #,##0.00_-;_-&quot;R$ &quot;* \-??_-;_-@_-"/>
    <numFmt numFmtId="183" formatCode="0.00_ "/>
    <numFmt numFmtId="184" formatCode="&quot;R$&quot;\ #,##0.00"/>
    <numFmt numFmtId="185" formatCode="_-&quot;R$&quot;* #,##0.00_-;\-&quot;R$&quot;* #,##0.00_-;_-&quot;R$&quot;* &quot;-&quot;??_-;_-@_-"/>
    <numFmt numFmtId="186" formatCode="&quot;R$&quot;#,##0.00_);[Red]&quot;(R$&quot;#,##0.00\)"/>
    <numFmt numFmtId="187" formatCode="&quot;R$ &quot;#,##0.00"/>
    <numFmt numFmtId="188" formatCode="&quot;R$&quot;#,##0.00"/>
  </numFmts>
  <fonts count="65">
    <font>
      <sz val="11"/>
      <color rgb="FF000000"/>
      <name val="Calibri"/>
      <charset val="134"/>
    </font>
    <font>
      <b/>
      <sz val="11"/>
      <color theme="1"/>
      <name val="Calibri"/>
      <charset val="134"/>
      <scheme val="minor"/>
    </font>
    <font>
      <sz val="11"/>
      <color theme="1"/>
      <name val="Calibri"/>
      <charset val="134"/>
      <scheme val="minor"/>
    </font>
    <font>
      <b/>
      <i/>
      <sz val="11"/>
      <name val="Calibri"/>
      <charset val="134"/>
    </font>
    <font>
      <b/>
      <i/>
      <sz val="11"/>
      <color rgb="FF3F3F3F"/>
      <name val="Calibri"/>
      <charset val="134"/>
    </font>
    <font>
      <i/>
      <sz val="11"/>
      <name val="Times New Roman"/>
      <charset val="134"/>
    </font>
    <font>
      <i/>
      <sz val="11"/>
      <name val="Calibri"/>
      <charset val="134"/>
    </font>
    <font>
      <b/>
      <i/>
      <sz val="11"/>
      <color rgb="FF000000"/>
      <name val="Calibri"/>
      <charset val="134"/>
    </font>
    <font>
      <b/>
      <sz val="11"/>
      <name val="Calibri"/>
      <charset val="134"/>
      <scheme val="minor"/>
    </font>
    <font>
      <sz val="11"/>
      <name val="Calibri"/>
      <charset val="134"/>
      <scheme val="minor"/>
    </font>
    <font>
      <sz val="12"/>
      <name val="Calibri"/>
      <charset val="134"/>
      <scheme val="minor"/>
    </font>
    <font>
      <b/>
      <i/>
      <sz val="11"/>
      <color theme="0"/>
      <name val="Arial"/>
      <charset val="134"/>
    </font>
    <font>
      <b/>
      <i/>
      <sz val="11"/>
      <color rgb="FF000000"/>
      <name val="Arial"/>
      <charset val="134"/>
    </font>
    <font>
      <b/>
      <i/>
      <sz val="11"/>
      <name val="Arial"/>
      <charset val="134"/>
    </font>
    <font>
      <i/>
      <sz val="11"/>
      <color rgb="FF000000"/>
      <name val="Arial"/>
      <charset val="134"/>
    </font>
    <font>
      <i/>
      <sz val="11"/>
      <name val="Arial"/>
      <charset val="134"/>
    </font>
    <font>
      <sz val="11"/>
      <color rgb="FF000000"/>
      <name val="Arial"/>
      <charset val="134"/>
    </font>
    <font>
      <sz val="11"/>
      <name val="Arial"/>
      <charset val="134"/>
    </font>
    <font>
      <b/>
      <i/>
      <sz val="11"/>
      <color theme="1"/>
      <name val="Arial"/>
      <charset val="134"/>
    </font>
    <font>
      <sz val="11"/>
      <color theme="1"/>
      <name val="Arial"/>
      <charset val="134"/>
    </font>
    <font>
      <b/>
      <sz val="11"/>
      <color theme="0"/>
      <name val="Arial"/>
      <charset val="134"/>
    </font>
    <font>
      <b/>
      <sz val="11"/>
      <name val="Arial"/>
      <charset val="134"/>
    </font>
    <font>
      <b/>
      <sz val="11"/>
      <color theme="1"/>
      <name val="Arial"/>
      <charset val="134"/>
    </font>
    <font>
      <b/>
      <sz val="11"/>
      <color theme="0"/>
      <name val="Calibri"/>
      <charset val="134"/>
    </font>
    <font>
      <b/>
      <sz val="11"/>
      <name val="Calibri"/>
      <charset val="134"/>
    </font>
    <font>
      <b/>
      <sz val="11"/>
      <color rgb="FF000000"/>
      <name val="Calibri"/>
      <charset val="134"/>
    </font>
    <font>
      <sz val="11"/>
      <name val="Calibri"/>
      <charset val="134"/>
    </font>
    <font>
      <i/>
      <sz val="11"/>
      <name val="Carlito"/>
      <charset val="134"/>
    </font>
    <font>
      <sz val="11"/>
      <color rgb="FFFF0000"/>
      <name val="Calibri"/>
      <charset val="134"/>
    </font>
    <font>
      <b/>
      <sz val="12"/>
      <name val="Calibri"/>
      <charset val="134"/>
      <scheme val="minor"/>
    </font>
    <font>
      <sz val="11"/>
      <color indexed="8"/>
      <name val="Calibri"/>
      <charset val="134"/>
    </font>
    <font>
      <sz val="12"/>
      <color indexed="8"/>
      <name val="Calibri"/>
      <charset val="134"/>
    </font>
    <font>
      <b/>
      <sz val="12"/>
      <color theme="0"/>
      <name val="Calibri"/>
      <charset val="134"/>
    </font>
    <font>
      <sz val="12"/>
      <name val="Calibri"/>
      <charset val="134"/>
    </font>
    <font>
      <b/>
      <sz val="14"/>
      <name val="Calibri"/>
      <charset val="134"/>
    </font>
    <font>
      <sz val="11"/>
      <color theme="0"/>
      <name val="Calibri"/>
      <charset val="134"/>
    </font>
    <font>
      <sz val="11"/>
      <color theme="5" tint="0.4"/>
      <name val="Calibri"/>
      <charset val="134"/>
    </font>
    <font>
      <b/>
      <sz val="11"/>
      <color rgb="FFFFFFFF"/>
      <name val="Calibri"/>
      <charset val="134"/>
    </font>
    <font>
      <b/>
      <sz val="14"/>
      <color rgb="FFFFFFFF"/>
      <name val="Calibri"/>
      <charset val="134"/>
    </font>
    <font>
      <sz val="11"/>
      <color rgb="FFF4B183"/>
      <name val="Calibri"/>
      <charset val="134"/>
    </font>
    <font>
      <sz val="11"/>
      <color rgb="FFFFFFFF"/>
      <name val="Calibri"/>
      <charset val="134"/>
    </font>
    <font>
      <sz val="9"/>
      <color rgb="FF000000"/>
      <name val="Calibri"/>
      <charset val="134"/>
    </font>
    <font>
      <b/>
      <sz val="11"/>
      <color theme="3"/>
      <name val="Calibri"/>
      <charset val="134"/>
      <scheme val="minor"/>
    </font>
    <font>
      <b/>
      <sz val="18"/>
      <color theme="3"/>
      <name val="Calibri"/>
      <charset val="134"/>
      <scheme val="minor"/>
    </font>
    <font>
      <sz val="10"/>
      <name val="Arial"/>
      <charset val="134"/>
    </font>
    <font>
      <b/>
      <sz val="11"/>
      <color rgb="FFFFFFFF"/>
      <name val="Calibri"/>
      <charset val="0"/>
      <scheme val="minor"/>
    </font>
    <font>
      <sz val="10"/>
      <color theme="1"/>
      <name val="Calibri"/>
      <charset val="134"/>
      <scheme val="minor"/>
    </font>
    <font>
      <b/>
      <sz val="13"/>
      <color theme="3"/>
      <name val="Calibri"/>
      <charset val="134"/>
      <scheme val="minor"/>
    </font>
    <font>
      <i/>
      <sz val="11"/>
      <color rgb="FF7F7F7F"/>
      <name val="Calibri"/>
      <charset val="0"/>
      <scheme val="minor"/>
    </font>
    <font>
      <b/>
      <sz val="11"/>
      <color rgb="FF3F3F3F"/>
      <name val="Calibri"/>
      <charset val="0"/>
      <scheme val="minor"/>
    </font>
    <font>
      <sz val="11"/>
      <color theme="0"/>
      <name val="Calibri"/>
      <charset val="0"/>
      <scheme val="minor"/>
    </font>
    <font>
      <sz val="11"/>
      <color theme="1"/>
      <name val="Calibri"/>
      <charset val="0"/>
      <scheme val="minor"/>
    </font>
    <font>
      <sz val="11"/>
      <color rgb="FFFA7D00"/>
      <name val="Calibri"/>
      <charset val="0"/>
      <scheme val="minor"/>
    </font>
    <font>
      <sz val="11"/>
      <color rgb="FF9C6500"/>
      <name val="Calibri"/>
      <charset val="0"/>
      <scheme val="minor"/>
    </font>
    <font>
      <u/>
      <sz val="11"/>
      <color rgb="FF0000FF"/>
      <name val="Calibri"/>
      <charset val="0"/>
      <scheme val="minor"/>
    </font>
    <font>
      <u/>
      <sz val="11"/>
      <color rgb="FF800080"/>
      <name val="Calibri"/>
      <charset val="0"/>
      <scheme val="minor"/>
    </font>
    <font>
      <sz val="11"/>
      <color rgb="FF3F3F76"/>
      <name val="Calibri"/>
      <charset val="0"/>
      <scheme val="minor"/>
    </font>
    <font>
      <sz val="11"/>
      <color rgb="FFFF0000"/>
      <name val="Calibri"/>
      <charset val="0"/>
      <scheme val="minor"/>
    </font>
    <font>
      <sz val="11"/>
      <color rgb="FF006100"/>
      <name val="Calibri"/>
      <charset val="0"/>
      <scheme val="minor"/>
    </font>
    <font>
      <b/>
      <sz val="15"/>
      <color theme="3"/>
      <name val="Calibri"/>
      <charset val="134"/>
      <scheme val="minor"/>
    </font>
    <font>
      <b/>
      <sz val="11"/>
      <color rgb="FFFA7D00"/>
      <name val="Calibri"/>
      <charset val="0"/>
      <scheme val="minor"/>
    </font>
    <font>
      <b/>
      <sz val="11"/>
      <color theme="1"/>
      <name val="Calibri"/>
      <charset val="0"/>
      <scheme val="minor"/>
    </font>
    <font>
      <sz val="11"/>
      <color rgb="FF9C0006"/>
      <name val="Calibri"/>
      <charset val="0"/>
      <scheme val="minor"/>
    </font>
    <font>
      <sz val="10"/>
      <name val="Calibri"/>
      <charset val="134"/>
    </font>
    <font>
      <sz val="10"/>
      <color rgb="FF000000"/>
      <name val="Calibri"/>
      <charset val="134"/>
    </font>
  </fonts>
  <fills count="55">
    <fill>
      <patternFill patternType="none"/>
    </fill>
    <fill>
      <patternFill patternType="gray125"/>
    </fill>
    <fill>
      <patternFill patternType="solid">
        <fgColor theme="9"/>
        <bgColor theme="9"/>
      </patternFill>
    </fill>
    <fill>
      <patternFill patternType="solid">
        <fgColor theme="0" tint="-0.5"/>
        <bgColor indexed="64"/>
      </patternFill>
    </fill>
    <fill>
      <patternFill patternType="solid">
        <fgColor rgb="FFD7D7D7"/>
        <bgColor indexed="64"/>
      </patternFill>
    </fill>
    <fill>
      <patternFill patternType="solid">
        <fgColor theme="5" tint="0.399945066682943"/>
        <bgColor indexed="64"/>
      </patternFill>
    </fill>
    <fill>
      <patternFill patternType="solid">
        <fgColor theme="5" tint="0.399884029663991"/>
        <bgColor indexed="64"/>
      </patternFill>
    </fill>
    <fill>
      <patternFill patternType="solid">
        <fgColor theme="0" tint="-0.499984740745262"/>
        <bgColor indexed="64"/>
      </patternFill>
    </fill>
    <fill>
      <patternFill patternType="solid">
        <fgColor theme="5" tint="0.399975585192419"/>
        <bgColor indexed="64"/>
      </patternFill>
    </fill>
    <fill>
      <patternFill patternType="solid">
        <fgColor theme="0" tint="-0.149998474074526"/>
        <bgColor indexed="64"/>
      </patternFill>
    </fill>
    <fill>
      <patternFill patternType="solid">
        <fgColor theme="9"/>
        <bgColor indexed="64"/>
      </patternFill>
    </fill>
    <fill>
      <patternFill patternType="solid">
        <fgColor theme="9" tint="0.6"/>
        <bgColor indexed="64"/>
      </patternFill>
    </fill>
    <fill>
      <patternFill patternType="solid">
        <fgColor theme="9" tint="0.4"/>
        <bgColor indexed="64"/>
      </patternFill>
    </fill>
    <fill>
      <patternFill patternType="solid">
        <fgColor theme="5" tint="0.4"/>
        <bgColor indexed="64"/>
      </patternFill>
    </fill>
    <fill>
      <patternFill patternType="solid">
        <fgColor theme="9" tint="0.8"/>
        <bgColor indexed="64"/>
      </patternFill>
    </fill>
    <fill>
      <patternFill patternType="solid">
        <fgColor rgb="FF70AD47"/>
        <bgColor indexed="64"/>
      </patternFill>
    </fill>
    <fill>
      <patternFill patternType="solid">
        <fgColor rgb="FFC5E0B4"/>
        <bgColor indexed="64"/>
      </patternFill>
    </fill>
    <fill>
      <patternFill patternType="solid">
        <fgColor rgb="FFF4B183"/>
        <bgColor indexed="64"/>
      </patternFill>
    </fill>
    <fill>
      <patternFill patternType="solid">
        <fgColor rgb="FFE2F0D9"/>
        <bgColor indexed="64"/>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F4B183"/>
        <bgColor rgb="FFFF99CC"/>
      </patternFill>
    </fill>
    <fill>
      <patternFill patternType="solid">
        <fgColor rgb="FFE2F0D9"/>
        <bgColor rgb="FFF2F2F2"/>
      </patternFill>
    </fill>
    <fill>
      <patternFill patternType="solid">
        <fgColor theme="5" tint="0.4"/>
        <bgColor rgb="FFA9D18E"/>
      </patternFill>
    </fill>
    <fill>
      <patternFill patternType="solid">
        <fgColor theme="5" tint="0.4"/>
        <bgColor rgb="FFF2F2F2"/>
      </patternFill>
    </fill>
    <fill>
      <patternFill patternType="solid">
        <fgColor rgb="FFA5A5A5"/>
        <bgColor indexed="64"/>
      </patternFill>
    </fill>
    <fill>
      <patternFill patternType="solid">
        <fgColor rgb="FFFFFFCC"/>
        <bgColor indexed="64"/>
      </patternFill>
    </fill>
    <fill>
      <patternFill patternType="solid">
        <fgColor rgb="FFF2F2F2"/>
        <bgColor indexed="64"/>
      </patternFill>
    </fill>
    <fill>
      <patternFill patternType="solid">
        <fgColor theme="8"/>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rgb="FFFFEB9C"/>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6"/>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theme="4" tint="0.599993896298105"/>
        <bgColor indexed="64"/>
      </patternFill>
    </fill>
    <fill>
      <patternFill patternType="solid">
        <fgColor theme="5"/>
        <bgColor indexed="64"/>
      </patternFill>
    </fill>
  </fills>
  <borders count="46">
    <border>
      <left/>
      <right/>
      <top/>
      <bottom/>
      <diagonal/>
    </border>
    <border>
      <left style="thin">
        <color theme="0"/>
      </left>
      <right/>
      <top/>
      <bottom style="thick">
        <color theme="0"/>
      </bottom>
      <diagonal/>
    </border>
    <border>
      <left/>
      <right/>
      <top/>
      <bottom style="thick">
        <color theme="0"/>
      </bottom>
      <diagonal/>
    </border>
    <border>
      <left/>
      <right style="thin">
        <color theme="0"/>
      </right>
      <top/>
      <bottom style="thick">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medium">
        <color auto="1"/>
      </left>
      <right/>
      <top style="medium">
        <color auto="1"/>
      </top>
      <bottom style="thick">
        <color theme="4"/>
      </bottom>
      <diagonal/>
    </border>
    <border>
      <left/>
      <right/>
      <top style="medium">
        <color auto="1"/>
      </top>
      <bottom style="thick">
        <color theme="4"/>
      </bottom>
      <diagonal/>
    </border>
    <border>
      <left/>
      <right style="medium">
        <color auto="1"/>
      </right>
      <top style="medium">
        <color auto="1"/>
      </top>
      <bottom style="thick">
        <color theme="4"/>
      </bottom>
      <diagonal/>
    </border>
    <border>
      <left style="medium">
        <color auto="1"/>
      </left>
      <right/>
      <top/>
      <bottom style="thick">
        <color theme="4"/>
      </bottom>
      <diagonal/>
    </border>
    <border>
      <left/>
      <right/>
      <top/>
      <bottom style="thick">
        <color theme="4"/>
      </bottom>
      <diagonal/>
    </border>
    <border>
      <left/>
      <right/>
      <top style="thick">
        <color theme="4"/>
      </top>
      <bottom style="thick">
        <color theme="4"/>
      </bottom>
      <diagonal/>
    </border>
    <border>
      <left/>
      <right style="medium">
        <color auto="1"/>
      </right>
      <top style="thick">
        <color theme="4"/>
      </top>
      <bottom style="thick">
        <color theme="4"/>
      </bottom>
      <diagonal/>
    </border>
    <border>
      <left style="medium">
        <color auto="1"/>
      </left>
      <right/>
      <top/>
      <bottom/>
      <diagonal/>
    </border>
    <border>
      <left/>
      <right style="medium">
        <color auto="1"/>
      </right>
      <top/>
      <bottom/>
      <diagonal/>
    </border>
    <border>
      <left/>
      <right style="medium">
        <color auto="1"/>
      </right>
      <top/>
      <bottom style="thick">
        <color theme="4"/>
      </bottom>
      <diagonal/>
    </border>
    <border>
      <left style="medium">
        <color auto="1"/>
      </left>
      <right/>
      <top style="thick">
        <color theme="4"/>
      </top>
      <bottom/>
      <diagonal/>
    </border>
    <border>
      <left/>
      <right/>
      <top style="thick">
        <color theme="4"/>
      </top>
      <bottom/>
      <diagonal/>
    </border>
    <border>
      <left style="medium">
        <color auto="1"/>
      </left>
      <right/>
      <top style="thick">
        <color theme="4"/>
      </top>
      <bottom style="thick">
        <color theme="4"/>
      </bottom>
      <diagonal/>
    </border>
    <border>
      <left style="medium">
        <color auto="1"/>
      </left>
      <right style="medium">
        <color auto="1"/>
      </right>
      <top style="medium">
        <color auto="1"/>
      </top>
      <bottom style="medium">
        <color auto="1"/>
      </bottom>
      <diagonal/>
    </border>
    <border>
      <left style="thin">
        <color rgb="FFFFFFFF"/>
      </left>
      <right/>
      <top/>
      <bottom style="thick">
        <color rgb="FFFFFFFF"/>
      </bottom>
      <diagonal/>
    </border>
    <border>
      <left/>
      <right/>
      <top/>
      <bottom style="thick">
        <color rgb="FFFFFFFF"/>
      </bottom>
      <diagonal/>
    </border>
    <border>
      <left style="thin">
        <color rgb="FFFFFFFF"/>
      </left>
      <right style="thin">
        <color rgb="FFFFFFFF"/>
      </right>
      <top style="thick">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top/>
      <bottom style="thin">
        <color rgb="FFFFFFFF"/>
      </bottom>
      <diagonal/>
    </border>
    <border>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bottom/>
      <diagonal/>
    </border>
    <border>
      <left style="thin">
        <color auto="1"/>
      </left>
      <right style="thin">
        <color auto="1"/>
      </right>
      <top style="thin">
        <color auto="1"/>
      </top>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s>
  <cellStyleXfs count="49">
    <xf numFmtId="0" fontId="0" fillId="0" borderId="0"/>
    <xf numFmtId="177" fontId="44" fillId="0" borderId="0" applyBorder="0" applyAlignment="0" applyProtection="0"/>
    <xf numFmtId="181" fontId="44" fillId="0" borderId="0" applyBorder="0" applyAlignment="0" applyProtection="0"/>
    <xf numFmtId="0" fontId="51" fillId="31" borderId="0" applyNumberFormat="0" applyBorder="0" applyAlignment="0" applyProtection="0">
      <alignment vertical="center"/>
    </xf>
    <xf numFmtId="9" fontId="0" fillId="0" borderId="0" applyBorder="0" applyProtection="0"/>
    <xf numFmtId="0" fontId="52" fillId="0" borderId="43" applyNumberFormat="0" applyFill="0" applyAlignment="0" applyProtection="0">
      <alignment vertical="center"/>
    </xf>
    <xf numFmtId="0" fontId="45" fillId="26" borderId="39" applyNumberFormat="0" applyAlignment="0" applyProtection="0">
      <alignment vertical="center"/>
    </xf>
    <xf numFmtId="180" fontId="44" fillId="0" borderId="0" applyBorder="0" applyAlignment="0" applyProtection="0"/>
    <xf numFmtId="0" fontId="51" fillId="39" borderId="0" applyNumberFormat="0" applyBorder="0" applyAlignment="0" applyProtection="0">
      <alignment vertical="center"/>
    </xf>
    <xf numFmtId="182" fontId="0" fillId="0" borderId="0" applyBorder="0" applyProtection="0"/>
    <xf numFmtId="0" fontId="55"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1" fillId="41" borderId="0" applyNumberFormat="0" applyBorder="0" applyAlignment="0" applyProtection="0">
      <alignment vertical="center"/>
    </xf>
    <xf numFmtId="0" fontId="46" fillId="27" borderId="40" applyNumberFormat="0" applyFont="0" applyAlignment="0" applyProtection="0">
      <alignment vertical="center"/>
    </xf>
    <xf numFmtId="0" fontId="51" fillId="30" borderId="0" applyNumberFormat="0" applyBorder="0" applyAlignment="0" applyProtection="0">
      <alignment vertical="center"/>
    </xf>
    <xf numFmtId="0" fontId="57"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50" fillId="46" borderId="0" applyNumberFormat="0" applyBorder="0" applyAlignment="0" applyProtection="0">
      <alignment vertical="center"/>
    </xf>
    <xf numFmtId="0" fontId="59" fillId="0" borderId="41" applyNumberFormat="0" applyFill="0" applyAlignment="0" applyProtection="0">
      <alignment vertical="center"/>
    </xf>
    <xf numFmtId="0" fontId="50" fillId="48" borderId="0" applyNumberFormat="0" applyBorder="0" applyAlignment="0" applyProtection="0">
      <alignment vertical="center"/>
    </xf>
    <xf numFmtId="0" fontId="47" fillId="0" borderId="41" applyNumberFormat="0" applyFill="0" applyAlignment="0" applyProtection="0">
      <alignment vertical="center"/>
    </xf>
    <xf numFmtId="0" fontId="50" fillId="29" borderId="0" applyNumberFormat="0" applyBorder="0" applyAlignment="0" applyProtection="0">
      <alignment vertical="center"/>
    </xf>
    <xf numFmtId="0" fontId="42" fillId="0" borderId="38" applyNumberFormat="0" applyFill="0" applyAlignment="0" applyProtection="0">
      <alignment vertical="center"/>
    </xf>
    <xf numFmtId="0" fontId="50" fillId="10" borderId="0" applyNumberFormat="0" applyBorder="0" applyAlignment="0" applyProtection="0">
      <alignment vertical="center"/>
    </xf>
    <xf numFmtId="0" fontId="42" fillId="0" borderId="0" applyNumberFormat="0" applyFill="0" applyBorder="0" applyAlignment="0" applyProtection="0">
      <alignment vertical="center"/>
    </xf>
    <xf numFmtId="0" fontId="56" fillId="42" borderId="44" applyNumberFormat="0" applyAlignment="0" applyProtection="0">
      <alignment vertical="center"/>
    </xf>
    <xf numFmtId="0" fontId="49" fillId="28" borderId="42" applyNumberFormat="0" applyAlignment="0" applyProtection="0">
      <alignment vertical="center"/>
    </xf>
    <xf numFmtId="0" fontId="60" fillId="28" borderId="44" applyNumberFormat="0" applyAlignment="0" applyProtection="0">
      <alignment vertical="center"/>
    </xf>
    <xf numFmtId="0" fontId="61" fillId="0" borderId="45" applyNumberFormat="0" applyFill="0" applyAlignment="0" applyProtection="0">
      <alignment vertical="center"/>
    </xf>
    <xf numFmtId="0" fontId="51" fillId="53" borderId="0" applyNumberFormat="0" applyBorder="0" applyAlignment="0" applyProtection="0">
      <alignment vertical="center"/>
    </xf>
    <xf numFmtId="0" fontId="58" fillId="45" borderId="0" applyNumberFormat="0" applyBorder="0" applyAlignment="0" applyProtection="0">
      <alignment vertical="center"/>
    </xf>
    <xf numFmtId="0" fontId="62" fillId="52" borderId="0" applyNumberFormat="0" applyBorder="0" applyAlignment="0" applyProtection="0">
      <alignment vertical="center"/>
    </xf>
    <xf numFmtId="0" fontId="53" fillId="38" borderId="0" applyNumberFormat="0" applyBorder="0" applyAlignment="0" applyProtection="0">
      <alignment vertical="center"/>
    </xf>
    <xf numFmtId="0" fontId="51" fillId="44" borderId="0" applyNumberFormat="0" applyBorder="0" applyAlignment="0" applyProtection="0">
      <alignment vertical="center"/>
    </xf>
    <xf numFmtId="0" fontId="50" fillId="51" borderId="0" applyNumberFormat="0" applyBorder="0" applyAlignment="0" applyProtection="0">
      <alignment vertical="center"/>
    </xf>
    <xf numFmtId="0" fontId="51" fillId="43" borderId="0" applyNumberFormat="0" applyBorder="0" applyAlignment="0" applyProtection="0">
      <alignment vertical="center"/>
    </xf>
    <xf numFmtId="0" fontId="50" fillId="50" borderId="0" applyNumberFormat="0" applyBorder="0" applyAlignment="0" applyProtection="0">
      <alignment vertical="center"/>
    </xf>
    <xf numFmtId="0" fontId="51" fillId="36" borderId="0" applyNumberFormat="0" applyBorder="0" applyAlignment="0" applyProtection="0">
      <alignment vertical="center"/>
    </xf>
    <xf numFmtId="0" fontId="50" fillId="54" borderId="0" applyNumberFormat="0" applyBorder="0" applyAlignment="0" applyProtection="0">
      <alignment vertical="center"/>
    </xf>
    <xf numFmtId="0" fontId="51" fillId="35" borderId="0" applyNumberFormat="0" applyBorder="0" applyAlignment="0" applyProtection="0">
      <alignment vertical="center"/>
    </xf>
    <xf numFmtId="0" fontId="50" fillId="8" borderId="0" applyNumberFormat="0" applyBorder="0" applyAlignment="0" applyProtection="0">
      <alignment vertical="center"/>
    </xf>
    <xf numFmtId="0" fontId="51" fillId="49" borderId="0" applyNumberFormat="0" applyBorder="0" applyAlignment="0" applyProtection="0">
      <alignment vertical="center"/>
    </xf>
    <xf numFmtId="0" fontId="50" fillId="34" borderId="0" applyNumberFormat="0" applyBorder="0" applyAlignment="0" applyProtection="0">
      <alignment vertical="center"/>
    </xf>
    <xf numFmtId="0" fontId="51" fillId="47" borderId="0" applyNumberFormat="0" applyBorder="0" applyAlignment="0" applyProtection="0">
      <alignment vertical="center"/>
    </xf>
    <xf numFmtId="0" fontId="50" fillId="33" borderId="0" applyNumberFormat="0" applyBorder="0" applyAlignment="0" applyProtection="0">
      <alignment vertical="center"/>
    </xf>
    <xf numFmtId="0" fontId="51" fillId="32" borderId="0" applyNumberFormat="0" applyBorder="0" applyAlignment="0" applyProtection="0">
      <alignment vertical="center"/>
    </xf>
    <xf numFmtId="0" fontId="50" fillId="37" borderId="0" applyNumberFormat="0" applyBorder="0" applyAlignment="0" applyProtection="0">
      <alignment vertical="center"/>
    </xf>
    <xf numFmtId="0" fontId="50" fillId="40" borderId="0" applyNumberFormat="0" applyBorder="0" applyAlignment="0" applyProtection="0">
      <alignment vertical="center"/>
    </xf>
  </cellStyleXfs>
  <cellXfs count="322">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horizontal="justify" wrapText="1"/>
    </xf>
    <xf numFmtId="176" fontId="2" fillId="0" borderId="0" xfId="0" applyNumberFormat="1" applyFont="1" applyFill="1" applyAlignment="1">
      <alignment horizontal="center" vertical="center"/>
    </xf>
    <xf numFmtId="0" fontId="2" fillId="0" borderId="0" xfId="0" applyFont="1" applyFill="1" applyAlignment="1"/>
    <xf numFmtId="176" fontId="2" fillId="0" borderId="0" xfId="0" applyNumberFormat="1" applyFont="1" applyFill="1" applyAlignment="1"/>
    <xf numFmtId="0" fontId="2" fillId="0" borderId="0" xfId="0" applyFont="1" applyFill="1" applyAlignment="1">
      <alignment horizontal="left"/>
    </xf>
    <xf numFmtId="0" fontId="3" fillId="3" borderId="0" xfId="0" applyFont="1" applyFill="1" applyAlignment="1">
      <alignment horizontal="center"/>
    </xf>
    <xf numFmtId="0" fontId="4" fillId="4" borderId="0" xfId="0" applyFont="1" applyFill="1" applyAlignment="1">
      <alignment horizontal="center" vertical="center" wrapText="1"/>
    </xf>
    <xf numFmtId="0" fontId="5" fillId="0" borderId="0" xfId="0" applyFont="1" applyAlignment="1">
      <alignment horizontal="center" vertical="center" wrapText="1"/>
    </xf>
    <xf numFmtId="0" fontId="3" fillId="0" borderId="0" xfId="0" applyFont="1" applyAlignment="1">
      <alignment horizontal="center" wrapText="1"/>
    </xf>
    <xf numFmtId="0" fontId="6" fillId="0" borderId="0" xfId="0" applyFont="1" applyAlignment="1">
      <alignment horizontal="justify" wrapText="1"/>
    </xf>
    <xf numFmtId="0" fontId="6" fillId="0" borderId="0" xfId="0" applyFont="1" applyAlignment="1">
      <alignment horizontal="center" vertical="center" wrapText="1"/>
    </xf>
    <xf numFmtId="178" fontId="0" fillId="0" borderId="0" xfId="0" applyNumberFormat="1" applyAlignment="1">
      <alignment horizontal="center" vertical="center"/>
    </xf>
    <xf numFmtId="0" fontId="7" fillId="3" borderId="0" xfId="0" applyFont="1" applyFill="1" applyAlignment="1">
      <alignment horizontal="center"/>
    </xf>
    <xf numFmtId="178" fontId="7" fillId="3" borderId="0" xfId="0" applyNumberFormat="1" applyFont="1" applyFill="1" applyAlignment="1">
      <alignment horizontal="center"/>
    </xf>
    <xf numFmtId="0" fontId="7" fillId="3" borderId="0" xfId="0" applyFont="1" applyFill="1" applyAlignment="1">
      <alignment horizontal="center" vertical="center"/>
    </xf>
    <xf numFmtId="178" fontId="7" fillId="3" borderId="0" xfId="0" applyNumberFormat="1" applyFont="1" applyFill="1" applyAlignment="1">
      <alignment horizontal="center" vertical="center"/>
    </xf>
    <xf numFmtId="0" fontId="1" fillId="0" borderId="0" xfId="0" applyFont="1" applyFill="1" applyAlignment="1">
      <alignment horizontal="center"/>
    </xf>
    <xf numFmtId="0" fontId="8" fillId="0" borderId="0" xfId="0" applyFont="1" applyFill="1" applyAlignment="1">
      <alignment horizontal="center"/>
    </xf>
    <xf numFmtId="0" fontId="9" fillId="0" borderId="0" xfId="0" applyFont="1" applyFill="1" applyAlignment="1">
      <alignment horizontal="center" vertical="center" wrapText="1"/>
    </xf>
    <xf numFmtId="0" fontId="9" fillId="0" borderId="0" xfId="0" applyFont="1" applyFill="1" applyAlignment="1">
      <alignment horizontal="justify" vertical="center" wrapText="1"/>
    </xf>
    <xf numFmtId="184" fontId="9" fillId="5" borderId="0" xfId="0" applyNumberFormat="1" applyFont="1" applyFill="1" applyAlignment="1">
      <alignment horizontal="center" vertical="center" wrapText="1"/>
    </xf>
    <xf numFmtId="0" fontId="9" fillId="6" borderId="0" xfId="0" applyFont="1" applyFill="1" applyAlignment="1">
      <alignment horizontal="center" vertical="center" wrapText="1"/>
    </xf>
    <xf numFmtId="184" fontId="9" fillId="0" borderId="0" xfId="0" applyNumberFormat="1" applyFont="1" applyFill="1" applyAlignment="1">
      <alignment horizontal="center" vertical="center" wrapText="1"/>
    </xf>
    <xf numFmtId="184" fontId="9" fillId="6" borderId="0" xfId="0" applyNumberFormat="1" applyFont="1" applyFill="1" applyAlignment="1">
      <alignment horizontal="center" vertical="center" wrapText="1"/>
    </xf>
    <xf numFmtId="0" fontId="10" fillId="0" borderId="0" xfId="0" applyFont="1" applyFill="1" applyAlignment="1">
      <alignment horizontal="center" vertical="center"/>
    </xf>
    <xf numFmtId="0" fontId="9" fillId="0" borderId="0" xfId="0" applyFont="1" applyFill="1" applyAlignment="1">
      <alignment horizontal="center" vertical="center"/>
    </xf>
    <xf numFmtId="184" fontId="2" fillId="0" borderId="0" xfId="0" applyNumberFormat="1" applyFont="1" applyFill="1" applyAlignment="1">
      <alignment horizontal="center" vertical="center"/>
    </xf>
    <xf numFmtId="0" fontId="11" fillId="7" borderId="0" xfId="0" applyFont="1" applyFill="1" applyAlignment="1">
      <alignment horizontal="center" vertical="center"/>
    </xf>
    <xf numFmtId="0" fontId="12" fillId="4" borderId="0" xfId="0" applyFont="1" applyFill="1" applyAlignment="1">
      <alignment horizontal="center" vertical="center" wrapText="1"/>
    </xf>
    <xf numFmtId="0" fontId="13" fillId="4" borderId="0" xfId="0" applyFont="1" applyFill="1" applyAlignment="1">
      <alignment horizontal="center" vertical="center" wrapText="1"/>
    </xf>
    <xf numFmtId="0" fontId="14" fillId="0" borderId="0" xfId="0" applyFont="1" applyAlignment="1">
      <alignment horizontal="center" vertical="center" wrapText="1"/>
    </xf>
    <xf numFmtId="0" fontId="14" fillId="0" borderId="0" xfId="0" applyFont="1" applyAlignment="1">
      <alignment horizontal="justify" vertical="center" wrapText="1"/>
    </xf>
    <xf numFmtId="0" fontId="15" fillId="0" borderId="0" xfId="0" applyFont="1" applyAlignment="1">
      <alignment horizontal="center" vertical="center" wrapText="1"/>
    </xf>
    <xf numFmtId="178" fontId="16" fillId="8" borderId="0" xfId="0" applyNumberFormat="1" applyFont="1" applyFill="1" applyAlignment="1">
      <alignment horizontal="center" vertical="center"/>
    </xf>
    <xf numFmtId="178" fontId="16" fillId="0" borderId="0" xfId="0" applyNumberFormat="1" applyFont="1" applyAlignment="1">
      <alignment horizontal="center" vertical="center"/>
    </xf>
    <xf numFmtId="0" fontId="14" fillId="0" borderId="0" xfId="0" applyFont="1" applyAlignment="1">
      <alignment horizontal="justify" vertical="center"/>
    </xf>
    <xf numFmtId="0" fontId="11" fillId="7" borderId="0" xfId="0" applyFont="1" applyFill="1" applyAlignment="1">
      <alignment horizontal="center"/>
    </xf>
    <xf numFmtId="178" fontId="11" fillId="7" borderId="0" xfId="0" applyNumberFormat="1" applyFont="1" applyFill="1" applyAlignment="1">
      <alignment horizontal="center"/>
    </xf>
    <xf numFmtId="0" fontId="16" fillId="0" borderId="0" xfId="0" applyFont="1"/>
    <xf numFmtId="0" fontId="17" fillId="0" borderId="0" xfId="0" applyFont="1"/>
    <xf numFmtId="0" fontId="18" fillId="7" borderId="0" xfId="0" applyFont="1" applyFill="1" applyAlignment="1">
      <alignment horizontal="center"/>
    </xf>
    <xf numFmtId="0" fontId="13" fillId="7" borderId="0" xfId="0" applyFont="1" applyFill="1" applyAlignment="1">
      <alignment horizontal="center"/>
    </xf>
    <xf numFmtId="0" fontId="15" fillId="9" borderId="0" xfId="0" applyFont="1" applyFill="1" applyAlignment="1">
      <alignment horizontal="center" vertical="center"/>
    </xf>
    <xf numFmtId="0" fontId="15" fillId="9" borderId="0" xfId="0" applyFont="1" applyFill="1" applyAlignment="1">
      <alignment horizontal="center" vertical="center" wrapText="1"/>
    </xf>
    <xf numFmtId="0" fontId="16" fillId="0" borderId="0" xfId="0" applyFont="1" applyAlignment="1">
      <alignment horizontal="justify" vertical="center"/>
    </xf>
    <xf numFmtId="0" fontId="19" fillId="0" borderId="0" xfId="0" applyFont="1" applyFill="1" applyAlignment="1">
      <alignment horizontal="center"/>
    </xf>
    <xf numFmtId="0" fontId="19" fillId="0" borderId="0" xfId="0" applyFont="1" applyFill="1" applyAlignment="1">
      <alignment wrapText="1"/>
    </xf>
    <xf numFmtId="0" fontId="19" fillId="0" borderId="0" xfId="0" applyFont="1" applyFill="1" applyAlignment="1">
      <alignment horizontal="center" vertical="center"/>
    </xf>
    <xf numFmtId="184" fontId="19" fillId="0" borderId="0" xfId="0" applyNumberFormat="1" applyFont="1" applyFill="1" applyAlignment="1">
      <alignment horizontal="center" vertical="center"/>
    </xf>
    <xf numFmtId="0" fontId="20" fillId="10" borderId="4" xfId="0" applyFont="1" applyFill="1" applyBorder="1" applyAlignment="1">
      <alignment horizontal="center"/>
    </xf>
    <xf numFmtId="0" fontId="20" fillId="10" borderId="5" xfId="0" applyFont="1" applyFill="1" applyBorder="1" applyAlignment="1">
      <alignment horizontal="center"/>
    </xf>
    <xf numFmtId="0" fontId="21" fillId="10" borderId="5" xfId="0" applyFont="1" applyFill="1" applyBorder="1" applyAlignment="1">
      <alignment horizontal="center"/>
    </xf>
    <xf numFmtId="0" fontId="20" fillId="10" borderId="6" xfId="0" applyFont="1" applyFill="1" applyBorder="1" applyAlignment="1">
      <alignment horizontal="center"/>
    </xf>
    <xf numFmtId="184" fontId="20" fillId="10" borderId="7" xfId="0" applyNumberFormat="1" applyFont="1" applyFill="1" applyBorder="1" applyAlignment="1">
      <alignment horizontal="center"/>
    </xf>
    <xf numFmtId="0" fontId="20" fillId="10" borderId="8" xfId="0" applyFont="1" applyFill="1" applyBorder="1" applyAlignment="1">
      <alignment horizontal="center"/>
    </xf>
    <xf numFmtId="0" fontId="21" fillId="10" borderId="8" xfId="0" applyFont="1" applyFill="1" applyBorder="1" applyAlignment="1">
      <alignment horizontal="center"/>
    </xf>
    <xf numFmtId="184" fontId="20" fillId="10" borderId="8" xfId="0" applyNumberFormat="1" applyFont="1" applyFill="1" applyBorder="1" applyAlignment="1">
      <alignment horizontal="center"/>
    </xf>
    <xf numFmtId="0" fontId="20" fillId="10" borderId="8" xfId="0" applyNumberFormat="1" applyFont="1" applyFill="1" applyBorder="1" applyAlignment="1">
      <alignment horizontal="center"/>
    </xf>
    <xf numFmtId="0" fontId="19" fillId="0" borderId="0" xfId="0" applyFont="1" applyFill="1" applyAlignment="1"/>
    <xf numFmtId="0" fontId="17" fillId="0" borderId="0" xfId="0" applyFont="1" applyFill="1" applyAlignment="1"/>
    <xf numFmtId="0" fontId="22" fillId="0" borderId="0" xfId="0" applyFont="1" applyFill="1" applyAlignment="1">
      <alignment horizontal="justify" wrapText="1"/>
    </xf>
    <xf numFmtId="0" fontId="19" fillId="0" borderId="0" xfId="0" applyFont="1" applyFill="1" applyAlignment="1">
      <alignment horizontal="justify" wrapText="1"/>
    </xf>
    <xf numFmtId="0" fontId="17" fillId="0" borderId="0" xfId="0" applyFont="1" applyFill="1" applyAlignment="1">
      <alignment horizontal="justify" wrapText="1"/>
    </xf>
    <xf numFmtId="0" fontId="0" fillId="0" borderId="0" xfId="0" applyAlignment="1">
      <alignment horizontal="center" vertical="center" wrapText="1"/>
    </xf>
    <xf numFmtId="0" fontId="0" fillId="0" borderId="0" xfId="0" applyAlignment="1">
      <alignment horizontal="center" vertical="center"/>
    </xf>
    <xf numFmtId="0" fontId="23" fillId="10" borderId="0" xfId="0" applyFont="1" applyFill="1" applyBorder="1" applyAlignment="1">
      <alignment horizontal="center"/>
    </xf>
    <xf numFmtId="0" fontId="23" fillId="10" borderId="0" xfId="0" applyFont="1" applyFill="1" applyBorder="1" applyAlignment="1">
      <alignment horizontal="center" vertical="center" wrapText="1"/>
    </xf>
    <xf numFmtId="0" fontId="23" fillId="10" borderId="0" xfId="0" applyFont="1" applyFill="1" applyBorder="1" applyAlignment="1">
      <alignment horizontal="center" vertical="center"/>
    </xf>
    <xf numFmtId="0" fontId="24" fillId="11" borderId="0" xfId="0" applyFont="1" applyFill="1" applyAlignment="1">
      <alignment horizontal="center"/>
    </xf>
    <xf numFmtId="0" fontId="24" fillId="11" borderId="0" xfId="0" applyFont="1" applyFill="1" applyAlignment="1">
      <alignment horizontal="center" vertical="center" wrapText="1"/>
    </xf>
    <xf numFmtId="0" fontId="24" fillId="11" borderId="0" xfId="0" applyFont="1" applyFill="1" applyAlignment="1">
      <alignment horizontal="center" vertical="center"/>
    </xf>
    <xf numFmtId="0" fontId="25" fillId="12" borderId="0" xfId="0" applyFont="1" applyFill="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justify" wrapText="1"/>
    </xf>
    <xf numFmtId="178" fontId="26" fillId="13" borderId="0" xfId="0" applyNumberFormat="1" applyFont="1" applyFill="1" applyAlignment="1">
      <alignment horizontal="center" vertical="center" wrapText="1"/>
    </xf>
    <xf numFmtId="178" fontId="26" fillId="0" borderId="0" xfId="0" applyNumberFormat="1" applyFont="1" applyAlignment="1">
      <alignment horizontal="center" vertical="center" wrapText="1"/>
    </xf>
    <xf numFmtId="0" fontId="27" fillId="0" borderId="0" xfId="0" applyFont="1" applyAlignment="1">
      <alignment horizontal="justify" vertical="center" wrapText="1"/>
    </xf>
    <xf numFmtId="0" fontId="27" fillId="0" borderId="0" xfId="0" applyFont="1" applyAlignment="1">
      <alignment horizontal="center" vertical="center" wrapText="1"/>
    </xf>
    <xf numFmtId="0" fontId="6" fillId="0" borderId="0" xfId="0" applyFont="1" applyAlignment="1">
      <alignment horizontal="justify" vertical="center" wrapText="1"/>
    </xf>
    <xf numFmtId="0" fontId="26" fillId="0" borderId="0" xfId="0" applyFont="1"/>
    <xf numFmtId="0" fontId="26" fillId="0" borderId="0" xfId="0" applyFont="1" applyAlignment="1">
      <alignment horizontal="center" vertical="center"/>
    </xf>
    <xf numFmtId="0" fontId="24" fillId="10" borderId="0" xfId="0" applyFont="1" applyFill="1" applyBorder="1" applyAlignment="1">
      <alignment horizontal="center"/>
    </xf>
    <xf numFmtId="0" fontId="24" fillId="10" borderId="0" xfId="0" applyFont="1" applyFill="1" applyBorder="1" applyAlignment="1">
      <alignment horizontal="center" vertical="center" wrapText="1"/>
    </xf>
    <xf numFmtId="0" fontId="24" fillId="10" borderId="0" xfId="0" applyFont="1" applyFill="1" applyBorder="1" applyAlignment="1">
      <alignment horizontal="center" vertical="center"/>
    </xf>
    <xf numFmtId="0" fontId="24" fillId="12" borderId="0" xfId="0" applyFont="1" applyFill="1" applyAlignment="1">
      <alignment horizontal="center" vertical="center" wrapText="1"/>
    </xf>
    <xf numFmtId="178" fontId="3" fillId="3" borderId="0" xfId="0" applyNumberFormat="1" applyFont="1" applyFill="1" applyAlignment="1">
      <alignment horizontal="center"/>
    </xf>
    <xf numFmtId="0" fontId="28" fillId="0" borderId="0" xfId="0" applyFont="1"/>
    <xf numFmtId="0" fontId="28" fillId="0" borderId="0" xfId="0" applyFont="1" applyAlignment="1">
      <alignment horizontal="center" vertical="center" wrapText="1"/>
    </xf>
    <xf numFmtId="0" fontId="28" fillId="0" borderId="0" xfId="0" applyFont="1" applyAlignment="1">
      <alignment horizontal="center" vertical="center"/>
    </xf>
    <xf numFmtId="178" fontId="28" fillId="0" borderId="0" xfId="0" applyNumberFormat="1" applyFont="1" applyAlignment="1">
      <alignment horizontal="center" vertical="center" wrapText="1"/>
    </xf>
    <xf numFmtId="0" fontId="29" fillId="10" borderId="9" xfId="19" applyFont="1" applyFill="1" applyBorder="1" applyAlignment="1">
      <alignment horizontal="center"/>
    </xf>
    <xf numFmtId="0" fontId="29" fillId="10" borderId="10" xfId="19" applyFont="1" applyFill="1" applyBorder="1" applyAlignment="1">
      <alignment horizontal="center"/>
    </xf>
    <xf numFmtId="0" fontId="29" fillId="10" borderId="11" xfId="19" applyFont="1" applyFill="1" applyBorder="1" applyAlignment="1">
      <alignment horizontal="center"/>
    </xf>
    <xf numFmtId="0" fontId="29" fillId="12" borderId="12" xfId="19" applyFont="1" applyFill="1" applyBorder="1" applyAlignment="1">
      <alignment horizontal="center" vertical="center" wrapText="1"/>
    </xf>
    <xf numFmtId="0" fontId="29" fillId="12" borderId="13" xfId="19" applyFont="1" applyFill="1" applyBorder="1" applyAlignment="1">
      <alignment horizontal="center" vertical="center" wrapText="1"/>
    </xf>
    <xf numFmtId="0" fontId="29" fillId="12" borderId="14" xfId="19" applyFont="1" applyFill="1" applyBorder="1" applyAlignment="1">
      <alignment horizontal="center" vertical="center" wrapText="1"/>
    </xf>
    <xf numFmtId="0" fontId="29" fillId="12" borderId="15" xfId="19" applyFont="1" applyFill="1" applyBorder="1" applyAlignment="1">
      <alignment horizontal="center" vertical="center" wrapText="1"/>
    </xf>
    <xf numFmtId="0" fontId="29" fillId="11" borderId="12" xfId="19" applyFont="1" applyFill="1" applyBorder="1" applyAlignment="1">
      <alignment horizontal="center" vertical="center" wrapText="1"/>
    </xf>
    <xf numFmtId="0" fontId="29" fillId="11" borderId="13" xfId="19" applyFont="1" applyFill="1" applyBorder="1" applyAlignment="1">
      <alignment horizontal="center" vertical="center" wrapText="1"/>
    </xf>
    <xf numFmtId="0" fontId="29" fillId="11" borderId="14" xfId="19" applyFont="1" applyFill="1" applyBorder="1" applyAlignment="1">
      <alignment horizontal="center" vertical="center"/>
    </xf>
    <xf numFmtId="0" fontId="29" fillId="11" borderId="15" xfId="19" applyFont="1" applyFill="1" applyBorder="1" applyAlignment="1">
      <alignment horizontal="center" vertical="center"/>
    </xf>
    <xf numFmtId="0" fontId="29" fillId="13" borderId="12" xfId="19" applyFont="1" applyFill="1" applyBorder="1" applyAlignment="1">
      <alignment horizontal="center" vertical="center"/>
    </xf>
    <xf numFmtId="185" fontId="29" fillId="13" borderId="13" xfId="9" applyNumberFormat="1" applyFont="1" applyFill="1" applyBorder="1" applyAlignment="1">
      <alignment horizontal="center" vertical="center"/>
    </xf>
    <xf numFmtId="185" fontId="29" fillId="13" borderId="14" xfId="9" applyNumberFormat="1" applyFont="1" applyFill="1" applyBorder="1" applyAlignment="1">
      <alignment horizontal="center" vertical="center"/>
    </xf>
    <xf numFmtId="185" fontId="29" fillId="13" borderId="15" xfId="9" applyNumberFormat="1" applyFont="1" applyFill="1" applyBorder="1" applyAlignment="1">
      <alignment horizontal="center" vertical="center"/>
    </xf>
    <xf numFmtId="0" fontId="30" fillId="0" borderId="0" xfId="0" applyNumberFormat="1" applyFont="1" applyFill="1" applyBorder="1" applyAlignment="1" applyProtection="1"/>
    <xf numFmtId="0" fontId="10" fillId="0" borderId="16" xfId="0" applyFont="1" applyFill="1" applyBorder="1" applyAlignment="1"/>
    <xf numFmtId="0" fontId="10" fillId="0" borderId="0" xfId="0" applyFont="1" applyFill="1" applyBorder="1" applyAlignment="1"/>
    <xf numFmtId="0" fontId="10" fillId="0" borderId="17" xfId="0" applyFont="1" applyFill="1" applyBorder="1" applyAlignment="1"/>
    <xf numFmtId="185" fontId="29" fillId="0" borderId="18" xfId="19" applyNumberFormat="1" applyFont="1" applyBorder="1" applyAlignment="1">
      <alignment horizontal="center" vertical="center" wrapText="1"/>
    </xf>
    <xf numFmtId="0" fontId="31" fillId="0" borderId="0" xfId="0" applyNumberFormat="1" applyFont="1" applyFill="1" applyBorder="1" applyAlignment="1" applyProtection="1"/>
    <xf numFmtId="0" fontId="29" fillId="11" borderId="19" xfId="0" applyFont="1" applyFill="1" applyBorder="1" applyAlignment="1">
      <alignment horizontal="center" vertical="center"/>
    </xf>
    <xf numFmtId="0" fontId="29" fillId="11" borderId="20" xfId="0" applyFont="1" applyFill="1" applyBorder="1" applyAlignment="1">
      <alignment horizontal="center" vertical="center"/>
    </xf>
    <xf numFmtId="0" fontId="29" fillId="11" borderId="0" xfId="0" applyFont="1" applyFill="1" applyBorder="1" applyAlignment="1">
      <alignment horizontal="center" vertical="center"/>
    </xf>
    <xf numFmtId="0" fontId="29" fillId="11" borderId="17" xfId="0" applyFont="1" applyFill="1" applyBorder="1" applyAlignment="1">
      <alignment horizontal="center" vertical="center"/>
    </xf>
    <xf numFmtId="0" fontId="10" fillId="11" borderId="16" xfId="0" applyFont="1" applyFill="1" applyBorder="1" applyAlignment="1">
      <alignment horizontal="left" vertical="top"/>
    </xf>
    <xf numFmtId="0" fontId="10" fillId="11" borderId="0" xfId="0" applyFont="1" applyFill="1" applyBorder="1" applyAlignment="1">
      <alignment horizontal="left" vertical="top"/>
    </xf>
    <xf numFmtId="10" fontId="10" fillId="13" borderId="0" xfId="4" applyNumberFormat="1" applyFont="1" applyFill="1" applyBorder="1" applyAlignment="1">
      <alignment horizontal="center" vertical="center"/>
    </xf>
    <xf numFmtId="185" fontId="10" fillId="13" borderId="17" xfId="9" applyNumberFormat="1" applyFont="1" applyFill="1" applyBorder="1" applyAlignment="1">
      <alignment horizontal="center" vertical="center"/>
    </xf>
    <xf numFmtId="0" fontId="10" fillId="14" borderId="16" xfId="0" applyFont="1" applyFill="1" applyBorder="1" applyAlignment="1">
      <alignment horizontal="left" vertical="top"/>
    </xf>
    <xf numFmtId="0" fontId="10" fillId="14" borderId="0" xfId="0" applyFont="1" applyFill="1" applyBorder="1" applyAlignment="1">
      <alignment horizontal="left" vertical="top"/>
    </xf>
    <xf numFmtId="0" fontId="29" fillId="12" borderId="21" xfId="19" applyFont="1" applyFill="1" applyBorder="1" applyAlignment="1">
      <alignment horizontal="center" vertical="center" wrapText="1"/>
    </xf>
    <xf numFmtId="185" fontId="29" fillId="13" borderId="22" xfId="19" applyNumberFormat="1" applyFont="1" applyFill="1" applyBorder="1" applyAlignment="1">
      <alignment horizontal="center" vertical="center" wrapText="1"/>
    </xf>
    <xf numFmtId="0" fontId="29" fillId="11" borderId="21" xfId="19" applyFont="1" applyFill="1" applyBorder="1" applyAlignment="1">
      <alignment horizontal="center" vertical="center" wrapText="1"/>
    </xf>
    <xf numFmtId="0" fontId="29" fillId="11" borderId="14" xfId="19" applyFont="1" applyFill="1" applyBorder="1" applyAlignment="1">
      <alignment horizontal="center" vertical="center" wrapText="1"/>
    </xf>
    <xf numFmtId="0" fontId="29" fillId="11" borderId="15" xfId="19" applyFont="1" applyFill="1" applyBorder="1" applyAlignment="1">
      <alignment horizontal="center" vertical="center" wrapText="1"/>
    </xf>
    <xf numFmtId="0" fontId="29" fillId="14" borderId="19" xfId="0" applyFont="1" applyFill="1" applyBorder="1" applyAlignment="1">
      <alignment horizontal="center" vertical="center"/>
    </xf>
    <xf numFmtId="0" fontId="29" fillId="14" borderId="20" xfId="0" applyFont="1" applyFill="1" applyBorder="1" applyAlignment="1">
      <alignment horizontal="center" vertical="center"/>
    </xf>
    <xf numFmtId="0" fontId="29" fillId="14" borderId="0" xfId="0" applyFont="1" applyFill="1" applyBorder="1" applyAlignment="1">
      <alignment horizontal="center" vertical="center"/>
    </xf>
    <xf numFmtId="0" fontId="29" fillId="14" borderId="17" xfId="0" applyFont="1" applyFill="1" applyBorder="1" applyAlignment="1">
      <alignment horizontal="center" vertical="center"/>
    </xf>
    <xf numFmtId="185" fontId="10" fillId="13" borderId="17" xfId="9" applyNumberFormat="1" applyFont="1" applyFill="1" applyBorder="1"/>
    <xf numFmtId="0" fontId="29" fillId="14" borderId="16" xfId="0" applyFont="1" applyFill="1" applyBorder="1" applyAlignment="1">
      <alignment horizontal="center"/>
    </xf>
    <xf numFmtId="0" fontId="29" fillId="14" borderId="0" xfId="0" applyFont="1" applyFill="1" applyBorder="1" applyAlignment="1">
      <alignment horizontal="center"/>
    </xf>
    <xf numFmtId="10" fontId="29" fillId="13" borderId="0" xfId="0" applyNumberFormat="1" applyFont="1" applyFill="1" applyBorder="1" applyAlignment="1">
      <alignment horizontal="center" vertical="center"/>
    </xf>
    <xf numFmtId="185" fontId="29" fillId="13" borderId="17" xfId="0" applyNumberFormat="1" applyFont="1" applyFill="1" applyBorder="1" applyAlignment="1">
      <alignment horizontal="center" vertical="center"/>
    </xf>
    <xf numFmtId="0" fontId="29" fillId="10" borderId="21" xfId="19" applyFont="1" applyFill="1" applyBorder="1" applyAlignment="1">
      <alignment horizontal="center" vertical="center" wrapText="1"/>
    </xf>
    <xf numFmtId="0" fontId="29" fillId="10" borderId="14" xfId="19" applyFont="1" applyFill="1" applyBorder="1" applyAlignment="1">
      <alignment horizontal="center" vertical="center" wrapText="1"/>
    </xf>
    <xf numFmtId="0" fontId="29" fillId="10" borderId="15" xfId="19" applyFont="1" applyFill="1" applyBorder="1" applyAlignment="1">
      <alignment horizontal="center" vertical="center" wrapText="1"/>
    </xf>
    <xf numFmtId="185" fontId="29" fillId="10" borderId="22" xfId="19" applyNumberFormat="1" applyFont="1" applyFill="1" applyBorder="1" applyAlignment="1">
      <alignment horizontal="center" vertical="center" wrapText="1"/>
    </xf>
    <xf numFmtId="0" fontId="9" fillId="0" borderId="0" xfId="0" applyFont="1" applyFill="1" applyAlignment="1"/>
    <xf numFmtId="0" fontId="2" fillId="0" borderId="0" xfId="0" applyFont="1" applyFill="1" applyAlignment="1">
      <alignment vertical="center" wrapText="1"/>
    </xf>
    <xf numFmtId="0" fontId="32" fillId="15" borderId="23" xfId="0" applyNumberFormat="1" applyFont="1" applyFill="1" applyBorder="1" applyAlignment="1" applyProtection="1">
      <alignment horizontal="center" vertical="center"/>
    </xf>
    <xf numFmtId="0" fontId="32" fillId="15" borderId="24" xfId="0" applyNumberFormat="1" applyFont="1" applyFill="1" applyBorder="1" applyAlignment="1" applyProtection="1">
      <alignment horizontal="center" vertical="center"/>
    </xf>
    <xf numFmtId="0" fontId="33" fillId="16" borderId="25" xfId="0" applyNumberFormat="1" applyFont="1" applyFill="1" applyBorder="1" applyAlignment="1" applyProtection="1">
      <alignment horizontal="left" vertical="center"/>
    </xf>
    <xf numFmtId="10" fontId="33" fillId="17" borderId="0" xfId="0" applyNumberFormat="1" applyFont="1" applyFill="1" applyBorder="1" applyAlignment="1" applyProtection="1">
      <alignment horizontal="center" vertical="center"/>
    </xf>
    <xf numFmtId="0" fontId="33" fillId="18" borderId="26" xfId="0" applyNumberFormat="1" applyFont="1" applyFill="1" applyBorder="1" applyAlignment="1" applyProtection="1">
      <alignment horizontal="left" vertical="center"/>
    </xf>
    <xf numFmtId="186" fontId="33" fillId="17" borderId="0" xfId="0" applyNumberFormat="1" applyFont="1" applyFill="1" applyBorder="1" applyAlignment="1" applyProtection="1">
      <alignment horizontal="center"/>
    </xf>
    <xf numFmtId="179" fontId="33" fillId="17" borderId="0" xfId="0" applyNumberFormat="1" applyFont="1" applyFill="1" applyBorder="1" applyAlignment="1" applyProtection="1">
      <alignment horizontal="center" vertical="center"/>
    </xf>
    <xf numFmtId="0" fontId="34" fillId="19" borderId="27" xfId="0" applyFont="1" applyFill="1" applyBorder="1" applyAlignment="1">
      <alignment horizontal="center"/>
    </xf>
    <xf numFmtId="0" fontId="24" fillId="20" borderId="28" xfId="0" applyFont="1" applyFill="1" applyBorder="1" applyAlignment="1">
      <alignment horizontal="left" wrapText="1"/>
    </xf>
    <xf numFmtId="0" fontId="24" fillId="21" borderId="0" xfId="0" applyFont="1" applyFill="1" applyBorder="1" applyAlignment="1">
      <alignment horizontal="left" wrapText="1"/>
    </xf>
    <xf numFmtId="49" fontId="26" fillId="21" borderId="0" xfId="0" applyNumberFormat="1" applyFont="1" applyFill="1" applyBorder="1" applyAlignment="1">
      <alignment horizontal="left"/>
    </xf>
    <xf numFmtId="0" fontId="26" fillId="21" borderId="0" xfId="0" applyFont="1" applyFill="1" applyBorder="1" applyAlignment="1">
      <alignment horizontal="left"/>
    </xf>
    <xf numFmtId="0" fontId="24" fillId="0" borderId="0" xfId="0" applyFont="1" applyBorder="1" applyAlignment="1">
      <alignment horizontal="left" wrapText="1"/>
    </xf>
    <xf numFmtId="0" fontId="26" fillId="0" borderId="0" xfId="0" applyFont="1" applyBorder="1" applyAlignment="1">
      <alignment horizontal="left"/>
    </xf>
    <xf numFmtId="0" fontId="24" fillId="19" borderId="29" xfId="0" applyFont="1" applyFill="1" applyBorder="1" applyAlignment="1">
      <alignment horizontal="center"/>
    </xf>
    <xf numFmtId="0" fontId="26" fillId="20" borderId="30" xfId="0" applyFont="1" applyFill="1" applyBorder="1" applyAlignment="1">
      <alignment horizontal="center"/>
    </xf>
    <xf numFmtId="0" fontId="26" fillId="20" borderId="25" xfId="0" applyFont="1" applyFill="1" applyBorder="1"/>
    <xf numFmtId="0" fontId="26" fillId="22" borderId="25" xfId="0" applyFont="1" applyFill="1" applyBorder="1" applyAlignment="1">
      <alignment horizontal="center"/>
    </xf>
    <xf numFmtId="0" fontId="26" fillId="23" borderId="31" xfId="0" applyFont="1" applyFill="1" applyBorder="1" applyAlignment="1">
      <alignment horizontal="center"/>
    </xf>
    <xf numFmtId="0" fontId="26" fillId="23" borderId="32" xfId="0" applyFont="1" applyFill="1" applyBorder="1"/>
    <xf numFmtId="0" fontId="26" fillId="22" borderId="32" xfId="0" applyFont="1" applyFill="1" applyBorder="1" applyAlignment="1">
      <alignment horizontal="center"/>
    </xf>
    <xf numFmtId="0" fontId="26" fillId="20" borderId="31" xfId="0" applyFont="1" applyFill="1" applyBorder="1" applyAlignment="1">
      <alignment horizontal="center"/>
    </xf>
    <xf numFmtId="0" fontId="26" fillId="20" borderId="32" xfId="0" applyFont="1" applyFill="1" applyBorder="1"/>
    <xf numFmtId="0" fontId="24" fillId="19" borderId="27" xfId="0" applyFont="1" applyFill="1" applyBorder="1" applyAlignment="1">
      <alignment horizontal="center"/>
    </xf>
    <xf numFmtId="0" fontId="24" fillId="19" borderId="33" xfId="0" applyFont="1" applyFill="1" applyBorder="1" applyAlignment="1">
      <alignment horizontal="center" wrapText="1"/>
    </xf>
    <xf numFmtId="0" fontId="24" fillId="19" borderId="23" xfId="0" applyFont="1" applyFill="1" applyBorder="1" applyAlignment="1">
      <alignment horizontal="center"/>
    </xf>
    <xf numFmtId="0" fontId="26" fillId="20" borderId="32" xfId="0" applyFont="1" applyFill="1" applyBorder="1" applyAlignment="1">
      <alignment horizontal="center"/>
    </xf>
    <xf numFmtId="0" fontId="26" fillId="22" borderId="34" xfId="0" applyFont="1" applyFill="1" applyBorder="1" applyAlignment="1">
      <alignment horizontal="center"/>
    </xf>
    <xf numFmtId="0" fontId="26" fillId="23" borderId="32" xfId="0" applyFont="1" applyFill="1" applyBorder="1" applyAlignment="1">
      <alignment horizontal="center"/>
    </xf>
    <xf numFmtId="187" fontId="26" fillId="22" borderId="34" xfId="0" applyNumberFormat="1" applyFont="1" applyFill="1" applyBorder="1" applyAlignment="1">
      <alignment horizontal="center"/>
    </xf>
    <xf numFmtId="0" fontId="24" fillId="0" borderId="0" xfId="0" applyFont="1" applyBorder="1" applyAlignment="1">
      <alignment horizontal="center"/>
    </xf>
    <xf numFmtId="0" fontId="26" fillId="0" borderId="0" xfId="0" applyFont="1" applyAlignment="1">
      <alignment horizontal="center"/>
    </xf>
    <xf numFmtId="0" fontId="26" fillId="22" borderId="0" xfId="0" applyFont="1" applyFill="1" applyAlignment="1">
      <alignment horizontal="center"/>
    </xf>
    <xf numFmtId="187" fontId="26" fillId="22" borderId="0" xfId="0" applyNumberFormat="1" applyFont="1" applyFill="1" applyAlignment="1">
      <alignment horizontal="center"/>
    </xf>
    <xf numFmtId="49" fontId="26" fillId="22" borderId="0" xfId="0" applyNumberFormat="1" applyFont="1" applyFill="1" applyAlignment="1">
      <alignment horizontal="center"/>
    </xf>
    <xf numFmtId="10" fontId="26" fillId="0" borderId="0" xfId="0" applyNumberFormat="1" applyFont="1"/>
    <xf numFmtId="187" fontId="26" fillId="0" borderId="0" xfId="0" applyNumberFormat="1" applyFont="1" applyAlignment="1">
      <alignment horizontal="center"/>
    </xf>
    <xf numFmtId="0" fontId="24" fillId="19" borderId="0" xfId="0" applyFont="1" applyFill="1" applyBorder="1" applyAlignment="1">
      <alignment horizontal="center"/>
    </xf>
    <xf numFmtId="10" fontId="26" fillId="0" borderId="0" xfId="4" applyNumberFormat="1" applyFont="1" applyBorder="1" applyAlignment="1" applyProtection="1">
      <alignment horizontal="center"/>
    </xf>
    <xf numFmtId="0" fontId="26" fillId="0" borderId="0" xfId="0" applyFont="1" applyAlignment="1"/>
    <xf numFmtId="0" fontId="24" fillId="19" borderId="0" xfId="0" applyFont="1" applyFill="1" applyBorder="1" applyAlignment="1">
      <alignment horizontal="center" vertical="center"/>
    </xf>
    <xf numFmtId="0" fontId="24" fillId="20" borderId="25" xfId="0" applyFont="1" applyFill="1" applyBorder="1" applyAlignment="1">
      <alignment horizontal="center" vertical="center"/>
    </xf>
    <xf numFmtId="186" fontId="26" fillId="22" borderId="26" xfId="0" applyNumberFormat="1" applyFont="1" applyFill="1" applyBorder="1" applyAlignment="1">
      <alignment horizontal="center" vertical="center"/>
    </xf>
    <xf numFmtId="0" fontId="24" fillId="23" borderId="26" xfId="0" applyFont="1" applyFill="1" applyBorder="1" applyAlignment="1">
      <alignment horizontal="center" vertical="center"/>
    </xf>
    <xf numFmtId="186" fontId="24" fillId="22" borderId="26" xfId="0" applyNumberFormat="1" applyFont="1" applyFill="1" applyBorder="1" applyAlignment="1">
      <alignment horizontal="center" vertical="center"/>
    </xf>
    <xf numFmtId="10" fontId="26" fillId="0" borderId="0" xfId="0" applyNumberFormat="1" applyFont="1" applyAlignment="1">
      <alignment horizontal="center"/>
    </xf>
    <xf numFmtId="10" fontId="26" fillId="22" borderId="0" xfId="4" applyNumberFormat="1" applyFont="1" applyFill="1" applyBorder="1" applyAlignment="1" applyProtection="1">
      <alignment horizontal="center"/>
    </xf>
    <xf numFmtId="187" fontId="26" fillId="22" borderId="0" xfId="0" applyNumberFormat="1" applyFont="1" applyFill="1" applyAlignment="1">
      <alignment horizontal="center" vertical="center"/>
    </xf>
    <xf numFmtId="0" fontId="26" fillId="0" borderId="0" xfId="0" applyFont="1" applyAlignment="1">
      <alignment vertical="center"/>
    </xf>
    <xf numFmtId="187" fontId="0" fillId="22" borderId="0" xfId="0" applyNumberFormat="1" applyFill="1" applyAlignment="1">
      <alignment horizontal="center" vertical="center"/>
    </xf>
    <xf numFmtId="187" fontId="26" fillId="0" borderId="0" xfId="0" applyNumberFormat="1" applyFont="1" applyAlignment="1">
      <alignment horizontal="left" vertical="center"/>
    </xf>
    <xf numFmtId="187" fontId="26" fillId="0" borderId="0" xfId="0" applyNumberFormat="1" applyFont="1" applyAlignment="1">
      <alignment horizontal="center" vertical="center"/>
    </xf>
    <xf numFmtId="10" fontId="26" fillId="0" borderId="0" xfId="4" applyNumberFormat="1" applyFont="1" applyBorder="1" applyAlignment="1" applyProtection="1">
      <alignment horizontal="center" vertical="center"/>
    </xf>
    <xf numFmtId="0" fontId="26" fillId="0" borderId="0" xfId="0" applyFont="1" applyAlignment="1">
      <alignment wrapText="1"/>
    </xf>
    <xf numFmtId="10" fontId="26" fillId="22" borderId="0" xfId="4" applyNumberFormat="1" applyFont="1" applyFill="1" applyBorder="1" applyAlignment="1" applyProtection="1">
      <alignment horizontal="center" vertical="center"/>
    </xf>
    <xf numFmtId="10" fontId="26" fillId="13" borderId="0" xfId="4" applyNumberFormat="1" applyFont="1" applyFill="1" applyBorder="1" applyAlignment="1" applyProtection="1">
      <alignment horizontal="center" vertical="center"/>
    </xf>
    <xf numFmtId="187" fontId="26" fillId="13" borderId="0" xfId="0" applyNumberFormat="1" applyFont="1" applyFill="1" applyAlignment="1">
      <alignment horizontal="center" vertical="center"/>
    </xf>
    <xf numFmtId="0" fontId="24" fillId="19" borderId="0" xfId="0" applyFont="1" applyFill="1" applyBorder="1" applyAlignment="1">
      <alignment horizontal="center" wrapText="1"/>
    </xf>
    <xf numFmtId="183" fontId="26" fillId="22" borderId="0" xfId="0" applyNumberFormat="1" applyFont="1" applyFill="1" applyAlignment="1">
      <alignment horizontal="center"/>
    </xf>
    <xf numFmtId="0" fontId="26" fillId="0" borderId="0" xfId="0" applyFont="1" applyAlignment="1">
      <alignment vertical="center" wrapText="1"/>
    </xf>
    <xf numFmtId="0" fontId="35" fillId="0" borderId="0" xfId="0" applyFont="1" applyAlignment="1">
      <alignment horizontal="center" vertical="center" wrapText="1"/>
    </xf>
    <xf numFmtId="187" fontId="35" fillId="0" borderId="0" xfId="0" applyNumberFormat="1" applyFont="1" applyAlignment="1">
      <alignment vertical="center"/>
    </xf>
    <xf numFmtId="187" fontId="35" fillId="0" borderId="0" xfId="0" applyNumberFormat="1" applyFont="1" applyAlignment="1">
      <alignment horizontal="center"/>
    </xf>
    <xf numFmtId="187" fontId="36" fillId="22" borderId="0" xfId="0" applyNumberFormat="1" applyFont="1" applyFill="1" applyAlignment="1">
      <alignment horizontal="center"/>
    </xf>
    <xf numFmtId="0" fontId="24" fillId="19" borderId="23" xfId="0" applyFont="1" applyFill="1" applyBorder="1" applyAlignment="1">
      <alignment horizontal="center" vertical="center"/>
    </xf>
    <xf numFmtId="0" fontId="26" fillId="20" borderId="25" xfId="0" applyFont="1" applyFill="1" applyBorder="1" applyAlignment="1">
      <alignment horizontal="left" vertical="center"/>
    </xf>
    <xf numFmtId="0" fontId="26" fillId="23" borderId="26" xfId="0" applyFont="1" applyFill="1" applyBorder="1" applyAlignment="1">
      <alignment horizontal="left" vertical="center"/>
    </xf>
    <xf numFmtId="186" fontId="26" fillId="22" borderId="0" xfId="0" applyNumberFormat="1" applyFont="1" applyFill="1" applyAlignment="1">
      <alignment horizontal="center" vertical="center"/>
    </xf>
    <xf numFmtId="179" fontId="26" fillId="22" borderId="0" xfId="0" applyNumberFormat="1" applyFont="1" applyFill="1" applyAlignment="1">
      <alignment horizontal="center" vertical="center"/>
    </xf>
    <xf numFmtId="0" fontId="26" fillId="0" borderId="0" xfId="0" applyFont="1" applyAlignment="1">
      <alignment horizontal="right"/>
    </xf>
    <xf numFmtId="0" fontId="26" fillId="19" borderId="0" xfId="0" applyFont="1" applyFill="1"/>
    <xf numFmtId="0" fontId="24" fillId="19" borderId="0" xfId="0" applyFont="1" applyFill="1" applyAlignment="1">
      <alignment horizontal="center" vertical="center"/>
    </xf>
    <xf numFmtId="187" fontId="24" fillId="19" borderId="0" xfId="0" applyNumberFormat="1" applyFont="1" applyFill="1" applyAlignment="1">
      <alignment horizontal="center"/>
    </xf>
    <xf numFmtId="187" fontId="0" fillId="22" borderId="0" xfId="0" applyNumberFormat="1" applyFill="1" applyAlignment="1">
      <alignment horizontal="center"/>
    </xf>
    <xf numFmtId="0" fontId="37" fillId="19" borderId="23" xfId="0" applyFont="1" applyFill="1" applyBorder="1" applyAlignment="1">
      <alignment horizontal="center" vertical="center"/>
    </xf>
    <xf numFmtId="0" fontId="37" fillId="19" borderId="23" xfId="0" applyFont="1" applyFill="1" applyBorder="1" applyAlignment="1">
      <alignment horizontal="center" vertical="center" wrapText="1"/>
    </xf>
    <xf numFmtId="0" fontId="0" fillId="20" borderId="25" xfId="0" applyFont="1" applyFill="1" applyBorder="1" applyAlignment="1">
      <alignment horizontal="left" vertical="center"/>
    </xf>
    <xf numFmtId="0" fontId="0" fillId="20" borderId="25" xfId="0" applyFont="1" applyFill="1" applyBorder="1" applyAlignment="1">
      <alignment horizontal="center" vertical="center"/>
    </xf>
    <xf numFmtId="178" fontId="0" fillId="24" borderId="25" xfId="0" applyNumberFormat="1" applyFont="1" applyFill="1" applyBorder="1" applyAlignment="1">
      <alignment horizontal="center" vertical="center"/>
    </xf>
    <xf numFmtId="0" fontId="0" fillId="23" borderId="35" xfId="0" applyFont="1" applyFill="1" applyBorder="1" applyAlignment="1">
      <alignment horizontal="left" vertical="center"/>
    </xf>
    <xf numFmtId="0" fontId="0" fillId="23" borderId="35" xfId="0" applyFont="1" applyFill="1" applyBorder="1" applyAlignment="1">
      <alignment horizontal="center" vertical="center"/>
    </xf>
    <xf numFmtId="178" fontId="0" fillId="25" borderId="26" xfId="0" applyNumberFormat="1" applyFont="1" applyFill="1" applyBorder="1" applyAlignment="1">
      <alignment horizontal="center" vertical="center"/>
    </xf>
    <xf numFmtId="0" fontId="3" fillId="20" borderId="36" xfId="0" applyFont="1" applyFill="1" applyBorder="1" applyAlignment="1">
      <alignment horizontal="center" vertical="center"/>
    </xf>
    <xf numFmtId="0" fontId="3" fillId="20" borderId="0" xfId="0" applyFont="1" applyFill="1" applyAlignment="1">
      <alignment horizontal="center" vertical="center"/>
    </xf>
    <xf numFmtId="178" fontId="3" fillId="20" borderId="36" xfId="0" applyNumberFormat="1" applyFont="1" applyFill="1" applyBorder="1" applyAlignment="1">
      <alignment horizontal="center" vertical="center"/>
    </xf>
    <xf numFmtId="0" fontId="0" fillId="0" borderId="0" xfId="0" applyAlignment="1">
      <alignment horizontal="justify" wrapText="1"/>
    </xf>
    <xf numFmtId="178" fontId="3" fillId="20" borderId="0" xfId="0" applyNumberFormat="1" applyFont="1" applyFill="1" applyAlignment="1">
      <alignment horizontal="center" vertical="center"/>
    </xf>
    <xf numFmtId="0" fontId="26" fillId="22" borderId="0" xfId="0" applyFont="1" applyFill="1" applyAlignment="1">
      <alignment horizontal="center" wrapText="1"/>
    </xf>
    <xf numFmtId="187" fontId="26" fillId="13" borderId="0" xfId="0" applyNumberFormat="1" applyFont="1" applyFill="1" applyAlignment="1">
      <alignment horizontal="center"/>
    </xf>
    <xf numFmtId="186" fontId="26" fillId="22" borderId="0" xfId="0" applyNumberFormat="1" applyFont="1" applyFill="1" applyAlignment="1">
      <alignment horizontal="center"/>
    </xf>
    <xf numFmtId="0" fontId="38" fillId="19" borderId="27" xfId="0" applyFont="1" applyFill="1" applyBorder="1" applyAlignment="1">
      <alignment horizontal="center"/>
    </xf>
    <xf numFmtId="0" fontId="25" fillId="20" borderId="28" xfId="0" applyFont="1" applyFill="1" applyBorder="1" applyAlignment="1">
      <alignment horizontal="left" wrapText="1"/>
    </xf>
    <xf numFmtId="0" fontId="25" fillId="21" borderId="0" xfId="0" applyFont="1" applyFill="1" applyBorder="1" applyAlignment="1">
      <alignment horizontal="left" wrapText="1"/>
    </xf>
    <xf numFmtId="49" fontId="0" fillId="21" borderId="0" xfId="0" applyNumberFormat="1" applyFont="1" applyFill="1" applyBorder="1" applyAlignment="1">
      <alignment horizontal="left"/>
    </xf>
    <xf numFmtId="0" fontId="0" fillId="21" borderId="0" xfId="0" applyFont="1" applyFill="1" applyBorder="1" applyAlignment="1">
      <alignment horizontal="left"/>
    </xf>
    <xf numFmtId="0" fontId="25" fillId="0" borderId="0" xfId="0" applyFont="1" applyBorder="1" applyAlignment="1">
      <alignment horizontal="left" wrapText="1"/>
    </xf>
    <xf numFmtId="0" fontId="0" fillId="0" borderId="0" xfId="0" applyFont="1" applyBorder="1" applyAlignment="1">
      <alignment horizontal="left"/>
    </xf>
    <xf numFmtId="0" fontId="37" fillId="19" borderId="29" xfId="0" applyFont="1" applyFill="1" applyBorder="1" applyAlignment="1">
      <alignment horizontal="center"/>
    </xf>
    <xf numFmtId="0" fontId="0" fillId="20" borderId="30" xfId="0" applyFont="1" applyFill="1" applyBorder="1" applyAlignment="1">
      <alignment horizontal="center"/>
    </xf>
    <xf numFmtId="0" fontId="0" fillId="20" borderId="25" xfId="0" applyFont="1" applyFill="1" applyBorder="1"/>
    <xf numFmtId="0" fontId="0" fillId="22" borderId="25" xfId="0" applyFont="1" applyFill="1" applyBorder="1" applyAlignment="1">
      <alignment horizontal="center"/>
    </xf>
    <xf numFmtId="0" fontId="0" fillId="23" borderId="31" xfId="0" applyFont="1" applyFill="1" applyBorder="1" applyAlignment="1">
      <alignment horizontal="center"/>
    </xf>
    <xf numFmtId="0" fontId="0" fillId="23" borderId="32" xfId="0" applyFont="1" applyFill="1" applyBorder="1"/>
    <xf numFmtId="0" fontId="0" fillId="22" borderId="32" xfId="0" applyFont="1" applyFill="1" applyBorder="1" applyAlignment="1">
      <alignment horizontal="center"/>
    </xf>
    <xf numFmtId="0" fontId="0" fillId="20" borderId="31" xfId="0" applyFont="1" applyFill="1" applyBorder="1" applyAlignment="1">
      <alignment horizontal="center"/>
    </xf>
    <xf numFmtId="0" fontId="0" fillId="20" borderId="32" xfId="0" applyFont="1" applyFill="1" applyBorder="1"/>
    <xf numFmtId="0" fontId="37" fillId="19" borderId="27" xfId="0" applyFont="1" applyFill="1" applyBorder="1" applyAlignment="1">
      <alignment horizontal="center"/>
    </xf>
    <xf numFmtId="0" fontId="37" fillId="19" borderId="33" xfId="0" applyFont="1" applyFill="1" applyBorder="1" applyAlignment="1">
      <alignment horizontal="center" wrapText="1"/>
    </xf>
    <xf numFmtId="0" fontId="37" fillId="19" borderId="23" xfId="0" applyFont="1" applyFill="1" applyBorder="1" applyAlignment="1">
      <alignment horizontal="center"/>
    </xf>
    <xf numFmtId="0" fontId="0" fillId="20" borderId="32" xfId="0" applyFont="1" applyFill="1" applyBorder="1" applyAlignment="1">
      <alignment horizontal="center"/>
    </xf>
    <xf numFmtId="0" fontId="0" fillId="22" borderId="34" xfId="0" applyFont="1" applyFill="1" applyBorder="1" applyAlignment="1">
      <alignment horizontal="center"/>
    </xf>
    <xf numFmtId="0" fontId="0" fillId="23" borderId="32" xfId="0" applyFont="1" applyFill="1" applyBorder="1" applyAlignment="1">
      <alignment horizontal="center"/>
    </xf>
    <xf numFmtId="187" fontId="0" fillId="22" borderId="34" xfId="0" applyNumberFormat="1" applyFont="1" applyFill="1" applyBorder="1" applyAlignment="1">
      <alignment horizontal="center"/>
    </xf>
    <xf numFmtId="0" fontId="25" fillId="0" borderId="0" xfId="0" applyFont="1" applyBorder="1" applyAlignment="1">
      <alignment horizontal="center"/>
    </xf>
    <xf numFmtId="0" fontId="0" fillId="0" borderId="0" xfId="0" applyFont="1" applyAlignment="1">
      <alignment horizontal="center"/>
    </xf>
    <xf numFmtId="0" fontId="0" fillId="22" borderId="0" xfId="0" applyFill="1" applyAlignment="1">
      <alignment horizontal="center"/>
    </xf>
    <xf numFmtId="0" fontId="0" fillId="22" borderId="0" xfId="0" applyFont="1" applyFill="1" applyAlignment="1">
      <alignment horizontal="center"/>
    </xf>
    <xf numFmtId="49" fontId="0" fillId="22" borderId="0" xfId="0" applyNumberFormat="1" applyFont="1" applyFill="1" applyAlignment="1">
      <alignment horizontal="center"/>
    </xf>
    <xf numFmtId="0" fontId="0" fillId="0" borderId="0" xfId="0" applyFont="1"/>
    <xf numFmtId="10" fontId="0" fillId="0" borderId="0" xfId="0" applyNumberFormat="1"/>
    <xf numFmtId="187" fontId="0" fillId="0" borderId="0" xfId="0" applyNumberFormat="1" applyAlignment="1">
      <alignment horizontal="center"/>
    </xf>
    <xf numFmtId="0" fontId="37" fillId="19" borderId="0" xfId="0" applyFont="1" applyFill="1" applyBorder="1" applyAlignment="1">
      <alignment horizontal="center"/>
    </xf>
    <xf numFmtId="10" fontId="0" fillId="0" borderId="0" xfId="4" applyNumberFormat="1" applyFont="1" applyBorder="1" applyAlignment="1" applyProtection="1">
      <alignment horizontal="center"/>
    </xf>
    <xf numFmtId="0" fontId="0" fillId="0" borderId="0" xfId="0" applyAlignment="1"/>
    <xf numFmtId="0" fontId="37" fillId="19" borderId="0" xfId="0" applyFont="1" applyFill="1" applyBorder="1" applyAlignment="1">
      <alignment horizontal="center" vertical="center"/>
    </xf>
    <xf numFmtId="0" fontId="25" fillId="20" borderId="25" xfId="0" applyFont="1" applyFill="1" applyBorder="1" applyAlignment="1">
      <alignment horizontal="center" vertical="center"/>
    </xf>
    <xf numFmtId="186" fontId="0" fillId="22" borderId="26" xfId="0" applyNumberFormat="1" applyFont="1" applyFill="1" applyBorder="1" applyAlignment="1">
      <alignment horizontal="center" vertical="center"/>
    </xf>
    <xf numFmtId="0" fontId="25" fillId="23" borderId="26" xfId="0" applyFont="1" applyFill="1" applyBorder="1" applyAlignment="1">
      <alignment horizontal="center" vertical="center"/>
    </xf>
    <xf numFmtId="186" fontId="25" fillId="22" borderId="26" xfId="0" applyNumberFormat="1" applyFont="1" applyFill="1" applyBorder="1" applyAlignment="1">
      <alignment horizontal="center" vertical="center"/>
    </xf>
    <xf numFmtId="10" fontId="0" fillId="0" borderId="0" xfId="0" applyNumberFormat="1" applyAlignment="1">
      <alignment horizontal="center"/>
    </xf>
    <xf numFmtId="10" fontId="0" fillId="22" borderId="0" xfId="4" applyNumberFormat="1" applyFont="1" applyFill="1" applyBorder="1" applyAlignment="1" applyProtection="1">
      <alignment horizontal="center"/>
    </xf>
    <xf numFmtId="187" fontId="0" fillId="22" borderId="0" xfId="0" applyNumberFormat="1" applyFont="1" applyFill="1" applyAlignment="1">
      <alignment horizontal="center"/>
    </xf>
    <xf numFmtId="0" fontId="0" fillId="0" borderId="0" xfId="0" applyFont="1" applyAlignment="1">
      <alignment horizontal="center" vertical="center"/>
    </xf>
    <xf numFmtId="0" fontId="0" fillId="0" borderId="0" xfId="0" applyFont="1" applyAlignment="1">
      <alignment vertical="center"/>
    </xf>
    <xf numFmtId="187" fontId="0" fillId="0" borderId="0" xfId="0" applyNumberFormat="1" applyFont="1" applyAlignment="1">
      <alignment horizontal="left" vertical="center"/>
    </xf>
    <xf numFmtId="10" fontId="0" fillId="0" borderId="0" xfId="4" applyNumberFormat="1" applyFont="1" applyBorder="1" applyAlignment="1" applyProtection="1">
      <alignment horizontal="center" vertical="center"/>
    </xf>
    <xf numFmtId="0" fontId="0" fillId="0" borderId="0" xfId="0" applyFont="1" applyAlignment="1">
      <alignment wrapText="1"/>
    </xf>
    <xf numFmtId="10" fontId="0" fillId="22" borderId="0" xfId="4" applyNumberFormat="1" applyFont="1" applyFill="1" applyBorder="1" applyAlignment="1" applyProtection="1">
      <alignment horizontal="center" vertical="center"/>
    </xf>
    <xf numFmtId="10" fontId="0" fillId="13" borderId="0" xfId="4" applyNumberFormat="1" applyFont="1" applyFill="1" applyBorder="1" applyAlignment="1" applyProtection="1">
      <alignment horizontal="center" vertical="center"/>
    </xf>
    <xf numFmtId="187" fontId="0" fillId="13" borderId="0" xfId="0" applyNumberFormat="1" applyFill="1" applyAlignment="1">
      <alignment horizontal="center"/>
    </xf>
    <xf numFmtId="0" fontId="37" fillId="19" borderId="0" xfId="0" applyFont="1" applyFill="1" applyBorder="1" applyAlignment="1">
      <alignment horizontal="center" wrapText="1"/>
    </xf>
    <xf numFmtId="183" fontId="0" fillId="22" borderId="0" xfId="0" applyNumberFormat="1" applyFill="1" applyAlignment="1">
      <alignment horizontal="center"/>
    </xf>
    <xf numFmtId="0" fontId="0" fillId="0" borderId="0" xfId="0" applyAlignment="1">
      <alignment vertical="center" wrapText="1"/>
    </xf>
    <xf numFmtId="0" fontId="35" fillId="0" borderId="0" xfId="0" applyFont="1" applyAlignment="1">
      <alignment horizontal="center"/>
    </xf>
    <xf numFmtId="187" fontId="39" fillId="22" borderId="0" xfId="0" applyNumberFormat="1" applyFont="1" applyFill="1" applyAlignment="1">
      <alignment horizontal="center"/>
    </xf>
    <xf numFmtId="187" fontId="0" fillId="0" borderId="0" xfId="0" applyNumberFormat="1" applyAlignment="1">
      <alignment horizontal="center" vertical="center"/>
    </xf>
    <xf numFmtId="0" fontId="0" fillId="23" borderId="26" xfId="0" applyFont="1" applyFill="1" applyBorder="1" applyAlignment="1">
      <alignment horizontal="left" vertical="center"/>
    </xf>
    <xf numFmtId="186" fontId="0" fillId="22" borderId="0" xfId="0" applyNumberFormat="1" applyFill="1" applyAlignment="1">
      <alignment horizontal="center"/>
    </xf>
    <xf numFmtId="179" fontId="0" fillId="22" borderId="0" xfId="0" applyNumberFormat="1" applyFill="1" applyAlignment="1">
      <alignment horizontal="center" vertical="center"/>
    </xf>
    <xf numFmtId="0" fontId="0" fillId="0" borderId="0" xfId="0" applyAlignment="1">
      <alignment horizontal="center"/>
    </xf>
    <xf numFmtId="0" fontId="0" fillId="0" borderId="0" xfId="0" applyFont="1" applyAlignment="1">
      <alignment horizontal="right"/>
    </xf>
    <xf numFmtId="0" fontId="40" fillId="19" borderId="0" xfId="0" applyFont="1" applyFill="1"/>
    <xf numFmtId="0" fontId="37" fillId="19" borderId="0" xfId="0" applyFont="1" applyFill="1" applyAlignment="1">
      <alignment horizontal="center" vertical="center"/>
    </xf>
    <xf numFmtId="187" fontId="37" fillId="19" borderId="0" xfId="0" applyNumberFormat="1" applyFont="1" applyFill="1" applyAlignment="1">
      <alignment horizontal="center"/>
    </xf>
    <xf numFmtId="0" fontId="41" fillId="0" borderId="0" xfId="0" applyFont="1"/>
    <xf numFmtId="176" fontId="0" fillId="0" borderId="0" xfId="0" applyNumberFormat="1" applyAlignment="1">
      <alignment horizontal="center" vertical="center"/>
    </xf>
    <xf numFmtId="0" fontId="40" fillId="19" borderId="0" xfId="0" applyFont="1" applyFill="1" applyAlignment="1">
      <alignment wrapText="1"/>
    </xf>
    <xf numFmtId="0" fontId="37" fillId="19" borderId="0" xfId="0" applyFont="1" applyFill="1" applyAlignment="1">
      <alignment horizontal="center" vertical="center" wrapText="1"/>
    </xf>
    <xf numFmtId="187" fontId="37" fillId="19" borderId="0" xfId="0" applyNumberFormat="1" applyFont="1" applyFill="1" applyAlignment="1">
      <alignment horizontal="center" wrapText="1"/>
    </xf>
    <xf numFmtId="187" fontId="0" fillId="13" borderId="0" xfId="0" applyNumberFormat="1" applyFill="1" applyAlignment="1">
      <alignment horizontal="center" vertical="center"/>
    </xf>
    <xf numFmtId="178" fontId="26" fillId="22" borderId="0" xfId="0" applyNumberFormat="1" applyFont="1" applyFill="1" applyAlignment="1">
      <alignment horizontal="center"/>
    </xf>
    <xf numFmtId="0" fontId="25" fillId="0" borderId="37" xfId="0" applyFont="1" applyBorder="1" applyAlignment="1">
      <alignment horizontal="center"/>
    </xf>
    <xf numFmtId="182" fontId="0" fillId="22" borderId="0" xfId="9" applyFont="1" applyFill="1" applyBorder="1" applyAlignment="1" applyProtection="1">
      <alignment horizontal="center"/>
    </xf>
    <xf numFmtId="188" fontId="0" fillId="22" borderId="0" xfId="0" applyNumberFormat="1" applyFill="1" applyAlignment="1">
      <alignment horizontal="center"/>
    </xf>
    <xf numFmtId="9" fontId="0" fillId="22" borderId="0" xfId="0" applyNumberFormat="1" applyFill="1" applyAlignment="1">
      <alignment horizontal="center"/>
    </xf>
    <xf numFmtId="0" fontId="0" fillId="0" borderId="0" xfId="0" applyFont="1" applyAlignment="1"/>
    <xf numFmtId="10" fontId="0" fillId="22" borderId="0" xfId="4" applyNumberFormat="1" applyFont="1" applyFill="1" applyBorder="1" applyAlignment="1" applyProtection="1"/>
    <xf numFmtId="10" fontId="0" fillId="0" borderId="0" xfId="4" applyNumberFormat="1" applyFont="1" applyBorder="1" applyAlignment="1" applyProtection="1"/>
    <xf numFmtId="0" fontId="25" fillId="0" borderId="0" xfId="0" applyFont="1" applyBorder="1" applyAlignment="1">
      <alignment horizontal="center" vertical="center"/>
    </xf>
    <xf numFmtId="0" fontId="25" fillId="0" borderId="0" xfId="0" applyFont="1" applyBorder="1" applyAlignment="1">
      <alignment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87" fontId="0" fillId="0" borderId="0" xfId="0" applyNumberFormat="1" applyFont="1" applyAlignment="1">
      <alignment horizontal="center" vertical="center" wrapText="1"/>
    </xf>
    <xf numFmtId="187" fontId="40" fillId="19" borderId="0" xfId="0" applyNumberFormat="1" applyFont="1" applyFill="1" applyAlignment="1">
      <alignment horizontal="center"/>
    </xf>
  </cellXfs>
  <cellStyles count="49">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60% - Ênfase 3" xfId="43" builtinId="40"/>
    <cellStyle name="20% - Ênfase 4" xfId="44" builtinId="42"/>
    <cellStyle name="60% - Ênfase 4" xfId="45" builtinId="44"/>
    <cellStyle name="40% - Ênfase 5" xfId="46" builtinId="47"/>
    <cellStyle name="60% - Ênfase 5" xfId="47" builtinId="48"/>
    <cellStyle name="60% - Ênfase 6" xfId="48" builtinId="52"/>
  </cellStyles>
  <dxfs count="512">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auto="1"/>
      </font>
      <alignment wrapText="1"/>
    </dxf>
    <dxf>
      <font>
        <color auto="1"/>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ill>
        <patternFill patternType="solid">
          <bgColor theme="5" tint="0.4"/>
        </patternFill>
      </fill>
      <alignment wrapText="1"/>
    </dxf>
    <dxf>
      <alignment wrapText="1"/>
    </dxf>
    <dxf>
      <alignment wrapText="1"/>
    </dxf>
    <dxf>
      <alignment wrapText="1"/>
    </dxf>
    <dxf>
      <alignment wrapText="1"/>
    </dxf>
    <dxf>
      <alignment horizontal="center" vertical="center" wrapText="1"/>
    </dxf>
    <dxf>
      <alignment wrapText="1"/>
    </dxf>
    <dxf>
      <alignment horizontal="center" vertical="center"/>
    </dxf>
    <dxf>
      <alignment wrapText="1"/>
    </dxf>
    <dxf>
      <alignment wrapText="1"/>
    </dxf>
    <dxf>
      <alignment wrapText="1"/>
    </dxf>
    <dxf>
      <alignment wrapText="1"/>
    </dxf>
    <dxf>
      <alignment wrapText="1"/>
    </dxf>
    <dxf>
      <alignment horizontal="center" vertical="center" wrapText="1"/>
    </dxf>
    <dxf>
      <alignment wrapText="1"/>
    </dxf>
    <dxf>
      <alignment horizontal="center" vertical="center"/>
    </dxf>
    <dxf>
      <alignment wrapText="1"/>
    </dxf>
    <dxf>
      <alignment wrapText="1"/>
    </dxf>
    <dxf>
      <alignment wrapText="1"/>
    </dxf>
    <dxf>
      <alignment wrapText="1"/>
    </dxf>
    <dxf>
      <alignment wrapText="1"/>
    </dxf>
    <dxf>
      <alignment horizontal="center" vertical="center" wrapText="1"/>
    </dxf>
    <dxf>
      <alignment wrapText="1"/>
    </dxf>
    <dxf>
      <alignment horizontal="center" vertical="center"/>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vertical="center" wrapText="1"/>
    </dxf>
    <dxf>
      <alignment wrapText="1"/>
    </dxf>
    <dxf>
      <alignment horizontal="center" vertical="center"/>
    </dxf>
    <dxf>
      <alignment wrapText="1"/>
    </dxf>
    <dxf>
      <alignment wrapText="1"/>
    </dxf>
    <dxf>
      <numFmt numFmtId="176" formatCode="&quot;R$&quot;\ #,##0.00_);[Red]\(&quot;R$&quot;\ #,##0.00\)"/>
      <alignment horizontal="center" vertical="center"/>
    </dxf>
    <dxf>
      <alignment wrapText="1"/>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9D18E"/>
      <rgbColor rgb="00808080"/>
      <rgbColor rgb="009999FF"/>
      <rgbColor rgb="00993366"/>
      <rgbColor rgb="00F2F2F2"/>
      <rgbColor rgb="00CCFFFF"/>
      <rgbColor rgb="00660066"/>
      <rgbColor rgb="00FF8080"/>
      <rgbColor rgb="000066CC"/>
      <rgbColor rgb="00C5E0B4"/>
      <rgbColor rgb="00000080"/>
      <rgbColor rgb="00FF00FF"/>
      <rgbColor rgb="00FFFF00"/>
      <rgbColor rgb="0000FFFF"/>
      <rgbColor rgb="00800080"/>
      <rgbColor rgb="00800000"/>
      <rgbColor rgb="00008080"/>
      <rgbColor rgb="000000FF"/>
      <rgbColor rgb="0000CCFF"/>
      <rgbColor rgb="00CCFFFF"/>
      <rgbColor rgb="00E2F0D9"/>
      <rgbColor rgb="00FFFF99"/>
      <rgbColor rgb="0099CCFF"/>
      <rgbColor rgb="00FF99CC"/>
      <rgbColor rgb="00CC99FF"/>
      <rgbColor rgb="00F4B183"/>
      <rgbColor rgb="003366FF"/>
      <rgbColor rgb="0033CCCC"/>
      <rgbColor rgb="0099CC00"/>
      <rgbColor rgb="00FFCC00"/>
      <rgbColor rgb="00FF9900"/>
      <rgbColor rgb="00FF6600"/>
      <rgbColor rgb="00666699"/>
      <rgbColor rgb="0070AD47"/>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ables/table1.xml><?xml version="1.0" encoding="utf-8"?>
<table xmlns="http://schemas.openxmlformats.org/spreadsheetml/2006/main" id="20" name="Submódulo2.2" displayName="Submódulo2.2" ref="A32:D41" totalsRowCount="1">
  <autoFilter ref="A32:D40"/>
  <tableColumns count="4">
    <tableColumn id="1" name="2.2" dataDxfId="0"/>
    <tableColumn id="2" name="GPS, FGTS e outras contribuições" dataDxfId="1"/>
    <tableColumn id="3" name="Percentual" dataDxfId="2"/>
    <tableColumn id="4" name="Valor " dataDxfId="3"/>
  </tableColumns>
  <tableStyleInfo showFirstColumn="0" showLastColumn="0" showRowStripes="1" showColumnStripes="0"/>
</table>
</file>

<file path=xl/tables/table10.xml><?xml version="1.0" encoding="utf-8"?>
<table xmlns="http://schemas.openxmlformats.org/spreadsheetml/2006/main" id="36" name="Table84238" displayName="Table84238" ref="A98:D100" totalsRowShown="0">
  <autoFilter ref="A98:D100"/>
  <tableColumns count="4">
    <tableColumn id="1" name="Item" dataDxfId="36"/>
    <tableColumn id="2" name="Rubrica" dataDxfId="37"/>
    <tableColumn id="3" name="Base de Cálculo" dataDxfId="38"/>
    <tableColumn id="4" name="Memória de Cálculo" dataDxfId="39"/>
  </tableColumns>
  <tableStyleInfo showFirstColumn="0" showLastColumn="0" showRowStripes="1" showColumnStripes="0"/>
</table>
</file>

<file path=xl/tables/table100.xml><?xml version="1.0" encoding="utf-8"?>
<table xmlns="http://schemas.openxmlformats.org/spreadsheetml/2006/main" id="50" name="Módulo663_85329351" displayName="Módulo663_85329351" ref="A128:D135" totalsRowCount="1">
  <tableColumns count="4">
    <tableColumn id="1" name="6" totalsRowLabel="Total" dataDxfId="396"/>
    <tableColumn id="2" name="Custos Indiretos, Tributos e Lucro" dataDxfId="397"/>
    <tableColumn id="3" name="Percentual" dataDxfId="398"/>
    <tableColumn id="4" name="Valor" totalsRowFunction="custom">
      <totalsRowFormula>TRUNC(SUM(D129:D131),2)</totalsRowFormula>
       dataDxfId="399"
    </tableColumn>
  </tableColumns>
  <tableStyleInfo showFirstColumn="0" showLastColumn="0" showRowStripes="1" showColumnStripes="0"/>
</table>
</file>

<file path=xl/tables/table101.xml><?xml version="1.0" encoding="utf-8"?>
<table xmlns="http://schemas.openxmlformats.org/spreadsheetml/2006/main" id="116" name="Table452_8222100117" displayName="Table452_8222100117" ref="A16:D21" totalsRowShown="0">
  <tableColumns count="4">
    <tableColumn id="1" name="Item" dataDxfId="400"/>
    <tableColumn id="2" name="Descrição" dataDxfId="401"/>
    <tableColumn id="3" name="Comentário" dataDxfId="402"/>
    <tableColumn id="4" name="Valor" dataDxfId="403"/>
  </tableColumns>
  <tableStyleInfo showFirstColumn="0" showLastColumn="0" showRowStripes="1" showColumnStripes="0"/>
</table>
</file>

<file path=xl/tables/table102.xml><?xml version="1.0" encoding="utf-8"?>
<table xmlns="http://schemas.openxmlformats.org/spreadsheetml/2006/main" id="117" name="Módulo358_8326103118" displayName="Módulo358_8326103118" ref="A75:D82" totalsRowCount="1">
  <autoFilter ref="A75:D81"/>
  <tableColumns count="4">
    <tableColumn id="1" name="3" totalsRowLabel="Total" dataDxfId="404"/>
    <tableColumn id="2" name="Provisão para Rescisão" dataDxfId="405"/>
    <tableColumn id="3" name="Percentual" totalsRowFunction="custom">
      <totalsRowFormula>SUM(C76:C81)</totalsRowFormula>
       dataDxfId="406"
    </tableColumn>
    <tableColumn id="4" name="Valor" totalsRowFunction="custom">
      <totalsRowFormula>TRUNC((SUM(D76:D81)),2)</totalsRowFormula>
       dataDxfId="407"
    </tableColumn>
  </tableColumns>
  <tableStyleInfo showFirstColumn="0" showLastColumn="0" showRowStripes="1" showColumnStripes="0"/>
</table>
</file>

<file path=xl/tables/table103.xml><?xml version="1.0" encoding="utf-8"?>
<table xmlns="http://schemas.openxmlformats.org/spreadsheetml/2006/main" id="90" name="Submódulo2.255_8916926691" displayName="Submódulo2.255_8916926691" ref="A46:D55" totalsRowCount="1">
  <autoFilter ref="A46:D54"/>
  <tableColumns count="4">
    <tableColumn id="1" name="2.2" totalsRowLabel="Total" dataDxfId="408"/>
    <tableColumn id="2" name="GPS, FGTS e outras contribuições" dataDxfId="409"/>
    <tableColumn id="3" name="Percentual" totalsRowFunction="custom">
      <totalsRowFormula>SUM(C47:C54)</totalsRowFormula>
       dataDxfId="410"
    </tableColumn>
    <tableColumn id="4" name="Valor " totalsRowFunction="custom">
      <totalsRowFormula>TRUNC((SUM(D47:D54)),2)</totalsRowFormula>
       dataDxfId="411"
    </tableColumn>
  </tableColumns>
  <tableStyleInfo showFirstColumn="0" showLastColumn="0" showRowStripes="1" showColumnStripes="0"/>
</table>
</file>

<file path=xl/tables/table104.xml><?xml version="1.0" encoding="utf-8"?>
<table xmlns="http://schemas.openxmlformats.org/spreadsheetml/2006/main" id="91" name="Módulo153_7828966792" displayName="Módulo153_7828966792" ref="A24:D31" totalsRowCount="1">
  <autoFilter ref="A24:D30"/>
  <tableColumns count="4">
    <tableColumn id="1" name="1" totalsRowLabel="Total" dataDxfId="412"/>
    <tableColumn id="2" name="Composição da Remuneração" dataDxfId="413"/>
    <tableColumn id="3" name="Comentário" dataDxfId="414"/>
    <tableColumn id="4" name="Valor" totalsRowFunction="custom">
      <totalsRowFormula>TRUNC(SUM(D25:D30),2)</totalsRowFormula>
       dataDxfId="415"
    </tableColumn>
  </tableColumns>
  <tableStyleInfo showFirstColumn="0" showLastColumn="0" showRowStripes="1" showColumnStripes="0"/>
</table>
</file>

<file path=xl/tables/table105.xml><?xml version="1.0" encoding="utf-8"?>
<table xmlns="http://schemas.openxmlformats.org/spreadsheetml/2006/main" id="92" name="Módulo562_8424917193" displayName="Módulo562_8424917193" ref="A112:D118" totalsRowCount="1">
  <autoFilter ref="A112:D117"/>
  <tableColumns count="4">
    <tableColumn id="1" name="5" totalsRowLabel="Total" dataDxfId="416"/>
    <tableColumn id="2" name="Insumos Diversos" dataDxfId="417"/>
    <tableColumn id="3" name="Comentário" dataDxfId="418"/>
    <tableColumn id="4" name="Valor" totalsRowFunction="custom">
      <totalsRowFormula>TRUNC(SUM((D113:D117)),2)</totalsRowFormula>
       dataDxfId="419"
    </tableColumn>
  </tableColumns>
  <tableStyleInfo showFirstColumn="0" showLastColumn="0" showRowStripes="1" showColumnStripes="0"/>
</table>
</file>

<file path=xl/tables/table106.xml><?xml version="1.0" encoding="utf-8"?>
<table xmlns="http://schemas.openxmlformats.org/spreadsheetml/2006/main" id="93" name="ResumoMódulo257_8630997294" displayName="ResumoMódulo257_8630997294" ref="A68:D72" totalsRowCount="1">
  <autoFilter ref="A68:D71"/>
  <tableColumns count="4">
    <tableColumn id="1" name="2" totalsRowLabel="Total" dataDxfId="420"/>
    <tableColumn id="2" name="Encargos e Benefícios Anuais, Mensais e Diários" dataDxfId="421"/>
    <tableColumn id="3" name="Comentário" dataDxfId="422"/>
    <tableColumn id="4" name="Valor" totalsRowFunction="custom">
      <totalsRowFormula>TRUNC(SUM(D69:D71),2)</totalsRowFormula>
       dataDxfId="423"
    </tableColumn>
  </tableColumns>
  <tableStyleInfo showFirstColumn="0" showLastColumn="0" showRowStripes="1" showColumnStripes="0"/>
</table>
</file>

<file path=xl/tables/table107.xml><?xml version="1.0" encoding="utf-8"?>
<table xmlns="http://schemas.openxmlformats.org/spreadsheetml/2006/main" id="94" name="Table452_82221007395" displayName="Table452_82221007395" ref="A16:D21" totalsRowShown="0">
  <tableColumns count="4">
    <tableColumn id="1" name="Item" dataDxfId="424"/>
    <tableColumn id="2" name="Descrição" dataDxfId="425"/>
    <tableColumn id="3" name="Comentário" dataDxfId="426"/>
    <tableColumn id="4" name="Valor" dataDxfId="427"/>
  </tableColumns>
  <tableStyleInfo showFirstColumn="0" showLastColumn="0" showRowStripes="1" showColumnStripes="0"/>
</table>
</file>

<file path=xl/tables/table108.xml><?xml version="1.0" encoding="utf-8"?>
<table xmlns="http://schemas.openxmlformats.org/spreadsheetml/2006/main" id="95" name="Submódulo2.356_79311016896" displayName="Submódulo2.356_79311016896" ref="A58:D65" totalsRowCount="1">
  <autoFilter ref="A58:D64"/>
  <tableColumns count="4">
    <tableColumn id="1" name="2.3" totalsRowLabel="Total" dataDxfId="428"/>
    <tableColumn id="2" name="Benefícios Mensais e Diários" dataDxfId="429"/>
    <tableColumn id="3" name="Comentário" dataDxfId="430"/>
    <tableColumn id="4" name="Valor" totalsRowFunction="custom">
      <totalsRowFormula>TRUNC((SUM(D59:D64)),2)</totalsRowFormula>
       dataDxfId="431"
    </tableColumn>
  </tableColumns>
  <tableStyleInfo showFirstColumn="0" showLastColumn="0" showRowStripes="1" showColumnStripes="0"/>
</table>
</file>

<file path=xl/tables/table109.xml><?xml version="1.0" encoding="utf-8"?>
<table xmlns="http://schemas.openxmlformats.org/spreadsheetml/2006/main" id="96" name="Submódulo4.260_81201026597" displayName="Submódulo4.260_81201026597" ref="A101:D103" totalsRowCount="1">
  <autoFilter ref="A101:D102"/>
  <tableColumns count="4">
    <tableColumn id="1" name="4.2" totalsRowLabel="Total" dataDxfId="432"/>
    <tableColumn id="2" name="Substituto na Intrajornada " dataDxfId="433"/>
    <tableColumn id="3" name="Comentário" dataDxfId="434"/>
    <tableColumn id="4" name="Valor" totalsRowFunction="custom">
      <totalsRowFormula>D102</totalsRowFormula>
       dataDxfId="435"
    </tableColumn>
  </tableColumns>
  <tableStyleInfo showFirstColumn="0" showLastColumn="0" showRowStripes="1" showColumnStripes="0"/>
</table>
</file>

<file path=xl/tables/table11.xml><?xml version="1.0" encoding="utf-8"?>
<table xmlns="http://schemas.openxmlformats.org/spreadsheetml/2006/main" id="37" name="Table8423851" displayName="Table8423851" ref="A122:D126" totalsRowShown="0">
  <autoFilter ref="A122:D126"/>
  <tableColumns count="4">
    <tableColumn id="1" name="Item" dataDxfId="40"/>
    <tableColumn id="2" name="Rubrica" dataDxfId="41"/>
    <tableColumn id="3" name="Base de Cálculo" dataDxfId="42"/>
    <tableColumn id="4" name="Memória de Cálculo" dataDxfId="43"/>
  </tableColumns>
  <tableStyleInfo showFirstColumn="0" showLastColumn="0" showRowStripes="1" showColumnStripes="0"/>
</table>
</file>

<file path=xl/tables/table110.xml><?xml version="1.0" encoding="utf-8"?>
<table xmlns="http://schemas.openxmlformats.org/spreadsheetml/2006/main" id="97" name="Submódulo4.159_8018986998" displayName="Submódulo4.159_8018986998" ref="A91:D98" totalsRowCount="1">
  <autoFilter ref="A91:D97"/>
  <tableColumns count="4">
    <tableColumn id="1" name="4.1" totalsRowLabel="Total" dataDxfId="436"/>
    <tableColumn id="2" name="Substituto nas Ausências Legais" dataDxfId="437"/>
    <tableColumn id="3" name="Percentual" totalsRowFunction="custom">
      <totalsRowFormula>SUM(C92:C97)</totalsRowFormula>
       dataDxfId="438"
    </tableColumn>
    <tableColumn id="4" name="Valor" totalsRowFunction="custom">
      <totalsRowFormula>TRUNC((SUM(D92:D97)),2)</totalsRowFormula>
       dataDxfId="439"
    </tableColumn>
  </tableColumns>
  <tableStyleInfo showFirstColumn="0" showLastColumn="0" showRowStripes="1" showColumnStripes="0"/>
</table>
</file>

<file path=xl/tables/table111.xml><?xml version="1.0" encoding="utf-8"?>
<table xmlns="http://schemas.openxmlformats.org/spreadsheetml/2006/main" id="98" name="Submódulo2.154_8712977099" displayName="Submódulo2.154_8712977099" ref="A36:D39" totalsRowCount="1">
  <autoFilter ref="A36:D38"/>
  <tableColumns count="4">
    <tableColumn id="1" name="2.1" totalsRowLabel="Total" dataDxfId="440"/>
    <tableColumn id="2" name="13º (décimo terceiro) Salário, Férias e Adicional de Férias" dataDxfId="441"/>
    <tableColumn id="3" name="Percentual" dataDxfId="442"/>
    <tableColumn id="4" name="Valor" totalsRowFunction="custom">
      <totalsRowFormula>TRUNC((SUM(D37:D38)),2)</totalsRowFormula>
       dataDxfId="443"
    </tableColumn>
  </tableColumns>
  <tableStyleInfo showFirstColumn="0" showLastColumn="0" showRowStripes="1" showColumnStripes="0"/>
</table>
</file>

<file path=xl/tables/table112.xml><?xml version="1.0" encoding="utf-8"?>
<table xmlns="http://schemas.openxmlformats.org/spreadsheetml/2006/main" id="99" name="ResumoPosto64_90109474100" displayName="ResumoPosto64_90109474100" ref="A139:D147" totalsRowShown="0">
  <autoFilter ref="A139:D147"/>
  <tableColumns count="4">
    <tableColumn id="1" name="Item" dataDxfId="444"/>
    <tableColumn id="2" name="Mão de obra vinculada à execução contratual" dataDxfId="445"/>
    <tableColumn id="3" name="-" dataDxfId="446"/>
    <tableColumn id="4" name="Valor" dataDxfId="447"/>
  </tableColumns>
  <tableStyleInfo showFirstColumn="0" showLastColumn="0" showRowStripes="1" showColumnStripes="0"/>
</table>
</file>

<file path=xl/tables/table113.xml><?xml version="1.0" encoding="utf-8"?>
<table xmlns="http://schemas.openxmlformats.org/spreadsheetml/2006/main" id="100" name="ResumoMódulo461_88149576101" displayName="ResumoMódulo461_88149576101" ref="A106:D109" totalsRowCount="1">
  <autoFilter ref="A106:D108"/>
  <tableColumns count="4">
    <tableColumn id="1" name="4" totalsRowLabel="Total" dataDxfId="448"/>
    <tableColumn id="2" name="Custo de Reposição do Profissional Ausente" dataDxfId="449"/>
    <tableColumn id="3" name="Comentário" totalsRowLabel="*Nota: Se o titular USUFRUIR do descanso intrajornada, o total é o somatório dos subitens 4.1 e 4.2" dataDxfId="450"/>
    <tableColumn id="4" name="Valor" totalsRowFunction="custom">
      <totalsRowFormula>TRUNC((SUM(D107:D108)),2)</totalsRowFormula>
       dataDxfId="451"
    </tableColumn>
  </tableColumns>
  <tableStyleInfo showFirstColumn="0" showLastColumn="0" showRowStripes="1" showColumnStripes="0"/>
</table>
</file>

<file path=xl/tables/table114.xml><?xml version="1.0" encoding="utf-8"?>
<table xmlns="http://schemas.openxmlformats.org/spreadsheetml/2006/main" id="101" name="Módulo358_832610375102" displayName="Módulo358_832610375102" ref="A75:D82" totalsRowCount="1">
  <autoFilter ref="A75:D81"/>
  <tableColumns count="4">
    <tableColumn id="1" name="3" totalsRowLabel="Total" dataDxfId="452"/>
    <tableColumn id="2" name="Provisão para Rescisão" dataDxfId="453"/>
    <tableColumn id="3" name="Percentual" totalsRowFunction="custom">
      <totalsRowFormula>SUM(C76:C81)</totalsRowFormula>
       dataDxfId="454"
    </tableColumn>
    <tableColumn id="4" name="Valor" totalsRowFunction="custom">
      <totalsRowFormula>TRUNC((SUM(D76:D81)),2)</totalsRowFormula>
       dataDxfId="455"
    </tableColumn>
  </tableColumns>
  <tableStyleInfo showFirstColumn="0" showLastColumn="0" showRowStripes="1" showColumnStripes="0"/>
</table>
</file>

<file path=xl/tables/table115.xml><?xml version="1.0" encoding="utf-8"?>
<table xmlns="http://schemas.openxmlformats.org/spreadsheetml/2006/main" id="102" name="Módulo663_85329377103" displayName="Módulo663_85329377103" ref="A128:D135" totalsRowCount="1">
  <tableColumns count="4">
    <tableColumn id="1" name="6" totalsRowLabel="Total" dataDxfId="456"/>
    <tableColumn id="2" name="Custos Indiretos, Tributos e Lucro" dataDxfId="457"/>
    <tableColumn id="3" name="Percentual" dataDxfId="458"/>
    <tableColumn id="4" name="Valor" totalsRowFunction="custom">
      <totalsRowFormula>TRUNC(SUM(D129:D131),2)</totalsRowFormula>
       dataDxfId="459"
    </tableColumn>
  </tableColumns>
  <tableStyleInfo showFirstColumn="0" showLastColumn="0" showRowStripes="1" showColumnStripes="0"/>
</table>
</file>

<file path=xl/tables/table116.xml><?xml version="1.0" encoding="utf-8"?>
<table xmlns="http://schemas.openxmlformats.org/spreadsheetml/2006/main" id="142" name="Table43_143" displayName="Table43_143" ref="A64:H80">
  <autoFilter ref="A64:H80"/>
  <tableColumns count="8">
    <tableColumn id="1" name="ITEM" totalsRowLabel="Total" dataDxfId="460"/>
    <tableColumn id="2" name="PEÇA" dataDxfId="461"/>
    <tableColumn id="3" name="DESCRIÇÃO" dataDxfId="462"/>
    <tableColumn id="4" name="UNIDADE" dataDxfId="463"/>
    <tableColumn id="5" name="VALOR MÉDIO UNITÁRIO (R$)" dataDxfId="464"/>
    <tableColumn id="6" name="QUANTIDADE ANUAL" dataDxfId="465"/>
    <tableColumn id="7" name="VALOR ANUAL POR EMPREGADO (R$)" dataDxfId="466"/>
    <tableColumn id="8" name="VALOR MENSAL POR EMPREGADO (R$)" totalsRowFunction="sum" dataDxfId="467"/>
  </tableColumns>
  <tableStyleInfo showFirstColumn="0" showLastColumn="0" showRowStripes="1" showColumnStripes="0"/>
</table>
</file>

<file path=xl/tables/table117.xml><?xml version="1.0" encoding="utf-8"?>
<table xmlns="http://schemas.openxmlformats.org/spreadsheetml/2006/main" id="119" name="Table43_14365" displayName="Table43_14365" ref="A3:H10">
  <autoFilter ref="A3:H10"/>
  <tableColumns count="8">
    <tableColumn id="1" name="ITEM" totalsRowLabel="Total" dataDxfId="468"/>
    <tableColumn id="2" name="PEÇA" dataDxfId="469"/>
    <tableColumn id="3" name="DESCRIÇÃO" dataDxfId="470"/>
    <tableColumn id="4" name="UNIDADE" dataDxfId="471"/>
    <tableColumn id="5" name="VALOR MÉDIO UNITÁRIO (R$)" dataDxfId="472"/>
    <tableColumn id="6" name="QUANTIDADE ANUAL" dataDxfId="473"/>
    <tableColumn id="7" name="VALOR ANUAL POR EMPREGADO (R$)" dataDxfId="474"/>
    <tableColumn id="8" name="VALOR MENSAL POR EMPREGADO (R$)" totalsRowFunction="sum" dataDxfId="475"/>
  </tableColumns>
  <tableStyleInfo showFirstColumn="0" showLastColumn="0" showRowStripes="1" showColumnStripes="0"/>
</table>
</file>

<file path=xl/tables/table118.xml><?xml version="1.0" encoding="utf-8"?>
<table xmlns="http://schemas.openxmlformats.org/spreadsheetml/2006/main" id="120" name="Table43_143656667" displayName="Table43_143656667" ref="A16:H23">
  <autoFilter ref="A16:H23"/>
  <tableColumns count="8">
    <tableColumn id="1" name="ITEM" totalsRowLabel="Total" dataDxfId="476"/>
    <tableColumn id="2" name="PEÇA" dataDxfId="477"/>
    <tableColumn id="3" name="DESCRIÇÃO" dataDxfId="478"/>
    <tableColumn id="4" name="UNIDADE" dataDxfId="479"/>
    <tableColumn id="5" name="VALOR MÉDIO UNITÁRIO (R$)" dataDxfId="480"/>
    <tableColumn id="6" name="QUANTIDADE ANUAL" dataDxfId="481"/>
    <tableColumn id="7" name="VALOR ANUAL POR EMPREGADO (R$)" dataDxfId="482"/>
    <tableColumn id="8" name="VALOR MENSAL POR EMPREGADO (R$)" totalsRowFunction="sum" dataDxfId="483"/>
  </tableColumns>
  <tableStyleInfo showFirstColumn="0" showLastColumn="0" showRowStripes="1" showColumnStripes="0"/>
</table>
</file>

<file path=xl/tables/table119.xml><?xml version="1.0" encoding="utf-8"?>
<table xmlns="http://schemas.openxmlformats.org/spreadsheetml/2006/main" id="121" name="Table43_14368" displayName="Table43_14368" ref="A29:H36">
  <autoFilter ref="A29:H36"/>
  <tableColumns count="8">
    <tableColumn id="1" name="ITEM" totalsRowLabel="Total" dataDxfId="484"/>
    <tableColumn id="2" name="PEÇA" dataDxfId="485"/>
    <tableColumn id="3" name="DESCRIÇÃO" dataDxfId="486"/>
    <tableColumn id="4" name="UNIDADE" dataDxfId="487"/>
    <tableColumn id="5" name="VALOR MÉDIO UNITÁRIO (R$)" dataDxfId="488"/>
    <tableColumn id="6" name="QUANTIDADE ANUAL" dataDxfId="489"/>
    <tableColumn id="7" name="VALOR ANUAL POR EMPREGADO (R$)" dataDxfId="490"/>
    <tableColumn id="8" name="VALOR MENSAL POR EMPREGADO (R$)" totalsRowFunction="sum" dataDxfId="491"/>
  </tableColumns>
  <tableStyleInfo showFirstColumn="0" showLastColumn="0" showRowStripes="1" showColumnStripes="0"/>
</table>
</file>

<file path=xl/tables/table12.xml><?xml version="1.0" encoding="utf-8"?>
<table xmlns="http://schemas.openxmlformats.org/spreadsheetml/2006/main" id="103" name="Módulo358_57104" displayName="Módulo358_57104" ref="A75:D82" totalsRowCount="1">
  <autoFilter ref="A75:D81"/>
  <tableColumns count="4">
    <tableColumn id="1" name="3" totalsRowLabel="Total" dataDxfId="44"/>
    <tableColumn id="2" name="Provisão para Rescisão" dataDxfId="45"/>
    <tableColumn id="3" name="Percentual" totalsRowFunction="custom">
      <totalsRowFormula>SUM(C76:C81)</totalsRowFormula>
       dataDxfId="46"
    </tableColumn>
    <tableColumn id="4" name="Valor" totalsRowFunction="custom">
      <totalsRowFormula>TRUNC((SUM(D76:D81)),2)</totalsRowFormula>
       dataDxfId="47"
    </tableColumn>
  </tableColumns>
  <tableStyleInfo showFirstColumn="0" showLastColumn="0" showRowStripes="1" showColumnStripes="0"/>
</table>
</file>

<file path=xl/tables/table120.xml><?xml version="1.0" encoding="utf-8"?>
<table xmlns="http://schemas.openxmlformats.org/spreadsheetml/2006/main" id="5" name="Table43_2" displayName="Table43_2" ref="A2:G6" totalsRowCount="1">
  <autoFilter ref="A2:G5"/>
  <tableColumns count="7">
    <tableColumn id="1" name="Item" totalsRowLabel="Total" dataDxfId="492"/>
    <tableColumn id="2" name="Peça" dataDxfId="493"/>
    <tableColumn id="3" name="Descrição" dataDxfId="494"/>
    <tableColumn id="4" name="Valor Médio Unitário (R$)" dataDxfId="495"/>
    <tableColumn id="5" name="Quantidade Anual" dataDxfId="496"/>
    <tableColumn id="6" name="Valor Anual/ Empregado (R$)" dataDxfId="497"/>
    <tableColumn id="7" name="Valor Mensal/ Empregado" totalsRowFunction="sum" dataDxfId="498"/>
  </tableColumns>
  <tableStyleInfo name="TableStyleMedium14" showFirstColumn="0" showLastColumn="0" showRowStripes="1" showColumnStripes="0"/>
</table>
</file>

<file path=xl/tables/table121.xml><?xml version="1.0" encoding="utf-8"?>
<table xmlns="http://schemas.openxmlformats.org/spreadsheetml/2006/main" id="118" name="Table44" displayName="Table44" ref="A98:F119" totalsRowCount="1">
  <autoFilter ref="A98:F118"/>
  <tableColumns count="6">
    <tableColumn id="1" name="ITEM" totalsRowLabel="Total" dataDxfId="499"/>
    <tableColumn id="2" name="DESCRIÇÃO" dataDxfId="500"/>
    <tableColumn id="3" name="UNIDADE" dataDxfId="501"/>
    <tableColumn id="4" name="QUANTIDADE" dataDxfId="502"/>
    <tableColumn id="5" name="VALOR UNITÁRIO" dataDxfId="503"/>
    <tableColumn id="6" name="VALOR TOTAL" totalsRowFunction="sum" dataDxfId="504"/>
  </tableColumns>
  <tableStyleInfo name="TableStyleMedium14" showFirstColumn="0" showLastColumn="0" showRowStripes="1" showColumnStripes="0"/>
</table>
</file>

<file path=xl/tables/table122.xml><?xml version="1.0" encoding="utf-8"?>
<table xmlns="http://schemas.openxmlformats.org/spreadsheetml/2006/main" id="7" name="Table39" displayName="Table39" ref="A2:G12" totalsRowCount="1">
  <tableColumns count="7">
    <tableColumn id="1" name="Item" totalsRowLabel="TOTAL" dataDxfId="505"/>
    <tableColumn id="2" name="Descrição" dataDxfId="506"/>
    <tableColumn id="7" name="Unidade" dataDxfId="507"/>
    <tableColumn id="3" name="Quantidade" dataDxfId="508"/>
    <tableColumn id="6" name="VIGÊNCIA " dataDxfId="509"/>
    <tableColumn id="4" name="VALOR UNITÁRIO MÁXIMO ACEITÁVEL" dataDxfId="510"/>
    <tableColumn id="5" name="VALOR TOTAL MÁXIMO ACEITÁVEL" totalsRowFunction="custom">
      <totalsRowFormula>SUM(G3:G11)</totalsRowFormula>
       dataDxfId="511"
    </tableColumn>
  </tableColumns>
  <tableStyleInfo name="TableStyleMedium14" showFirstColumn="0" showLastColumn="0" showRowStripes="1" showColumnStripes="0"/>
</table>
</file>

<file path=xl/tables/table13.xml><?xml version="1.0" encoding="utf-8"?>
<table xmlns="http://schemas.openxmlformats.org/spreadsheetml/2006/main" id="104" name="Módulo663_59105" displayName="Módulo663_59105" ref="A128:D135" totalsRowCount="1">
  <tableColumns count="4">
    <tableColumn id="1" name="6" totalsRowLabel="Total" dataDxfId="48"/>
    <tableColumn id="2" name="Custos Indiretos, Tributos e Lucro" dataDxfId="49"/>
    <tableColumn id="3" name="Percentual" dataDxfId="50"/>
    <tableColumn id="4" name="Valor" totalsRowFunction="custom">
      <totalsRowFormula>SUM(D129:D131)</totalsRowFormula>
       dataDxfId="51"
    </tableColumn>
  </tableColumns>
  <tableStyleInfo showFirstColumn="0" showLastColumn="0" showRowStripes="1" showColumnStripes="0"/>
</table>
</file>

<file path=xl/tables/table14.xml><?xml version="1.0" encoding="utf-8"?>
<table xmlns="http://schemas.openxmlformats.org/spreadsheetml/2006/main" id="105" name="Table452_56106" displayName="Table452_56106" ref="A16:D21" totalsRowShown="0">
  <tableColumns count="4">
    <tableColumn id="1" name="Item" dataDxfId="52"/>
    <tableColumn id="2" name="Descrição" dataDxfId="53"/>
    <tableColumn id="3" name="Comentário" dataDxfId="54"/>
    <tableColumn id="4" name="Valor" dataDxfId="55"/>
  </tableColumns>
  <tableStyleInfo showFirstColumn="0" showLastColumn="0" showRowStripes="1" showColumnStripes="0"/>
</table>
</file>

<file path=xl/tables/table15.xml><?xml version="1.0" encoding="utf-8"?>
<table xmlns="http://schemas.openxmlformats.org/spreadsheetml/2006/main" id="106" name="Submódulo4.260_55107" displayName="Submódulo4.260_55107" ref="A101:D103" totalsRowCount="1">
  <autoFilter ref="A101:D102"/>
  <tableColumns count="4">
    <tableColumn id="1" name="4.2" totalsRowLabel="Total" dataDxfId="56"/>
    <tableColumn id="2" name="Substituto na Intrajornada " dataDxfId="57"/>
    <tableColumn id="3" name="Comentário" dataDxfId="58"/>
    <tableColumn id="4" name="Valor" totalsRowFunction="custom">
      <totalsRowFormula>D102</totalsRowFormula>
       dataDxfId="59"
    </tableColumn>
  </tableColumns>
  <tableStyleInfo showFirstColumn="0" showLastColumn="0" showRowStripes="1" showColumnStripes="0"/>
</table>
</file>

<file path=xl/tables/table16.xml><?xml version="1.0" encoding="utf-8"?>
<table xmlns="http://schemas.openxmlformats.org/spreadsheetml/2006/main" id="107" name="ResumoPosto64_64108" displayName="ResumoPosto64_64108" ref="A139:D147" totalsRowShown="0">
  <autoFilter ref="A139:D147"/>
  <tableColumns count="4">
    <tableColumn id="1" name="Item" dataDxfId="60"/>
    <tableColumn id="2" name="Mão de obra vinculada à execução contratual" dataDxfId="61"/>
    <tableColumn id="3" name="-" dataDxfId="62"/>
    <tableColumn id="4" name="Valor" dataDxfId="63"/>
  </tableColumns>
  <tableStyleInfo showFirstColumn="0" showLastColumn="0" showRowStripes="1" showColumnStripes="0"/>
</table>
</file>

<file path=xl/tables/table17.xml><?xml version="1.0" encoding="utf-8"?>
<table xmlns="http://schemas.openxmlformats.org/spreadsheetml/2006/main" id="108" name="Módulo153_52109" displayName="Módulo153_52109" ref="A24:D31" totalsRowCount="1">
  <autoFilter ref="A24:D30"/>
  <tableColumns count="4">
    <tableColumn id="1" name="1" totalsRowLabel="Total" dataDxfId="64"/>
    <tableColumn id="2" name="Composição da Remuneração" dataDxfId="65"/>
    <tableColumn id="3" name="Comentário" dataDxfId="66"/>
    <tableColumn id="4" name="Valor" totalsRowFunction="custom">
      <totalsRowFormula>TRUNC((SUM(D25:D30)),2)</totalsRowFormula>
       dataDxfId="67"
    </tableColumn>
  </tableColumns>
  <tableStyleInfo showFirstColumn="0" showLastColumn="0" showRowStripes="1" showColumnStripes="0"/>
</table>
</file>

<file path=xl/tables/table18.xml><?xml version="1.0" encoding="utf-8"?>
<table xmlns="http://schemas.openxmlformats.org/spreadsheetml/2006/main" id="109" name="Submódulo4.159_54110" displayName="Submódulo4.159_54110" ref="A91:D98" totalsRowCount="1">
  <autoFilter ref="A91:D97"/>
  <tableColumns count="4">
    <tableColumn id="1" name="4.1" totalsRowLabel="Total" dataDxfId="68"/>
    <tableColumn id="2" name="Substituto nas Ausências Legais" dataDxfId="69"/>
    <tableColumn id="3" name="Percentual" totalsRowFunction="custom">
      <totalsRowFormula>SUM(C92:C97)</totalsRowFormula>
       dataDxfId="70"
    </tableColumn>
    <tableColumn id="4" name="Valor" totalsRowFunction="custom">
      <totalsRowFormula>TRUNC((SUM(D92:D97)),2)</totalsRowFormula>
       dataDxfId="71"
    </tableColumn>
  </tableColumns>
  <tableStyleInfo showFirstColumn="0" showLastColumn="0" showRowStripes="1" showColumnStripes="0"/>
</table>
</file>

<file path=xl/tables/table19.xml><?xml version="1.0" encoding="utf-8"?>
<table xmlns="http://schemas.openxmlformats.org/spreadsheetml/2006/main" id="110" name="Submódulo2.154_61111" displayName="Submódulo2.154_61111" ref="A36:D39" totalsRowCount="1">
  <autoFilter ref="A36:D38"/>
  <tableColumns count="4">
    <tableColumn id="1" name="2.1" totalsRowLabel="Total" dataDxfId="72"/>
    <tableColumn id="2" name="13º (décimo terceiro) Salário, Férias e Adicional de Férias" dataDxfId="73"/>
    <tableColumn id="3" name="Percentual" dataDxfId="74"/>
    <tableColumn id="4" name="Valor" totalsRowFunction="custom">
      <totalsRowFormula>TRUNC((SUM(D37:D38)),2)</totalsRowFormula>
       dataDxfId="75"
    </tableColumn>
  </tableColumns>
  <tableStyleInfo showFirstColumn="0" showLastColumn="0" showRowStripes="1" showColumnStripes="0"/>
</table>
</file>

<file path=xl/tables/table2.xml><?xml version="1.0" encoding="utf-8"?>
<table xmlns="http://schemas.openxmlformats.org/spreadsheetml/2006/main" id="22" name="Submódulo2.3" displayName="Submódulo2.3" ref="A48:D53" totalsRowCount="1">
  <autoFilter ref="A48:D52"/>
  <tableColumns count="4">
    <tableColumn id="1" name="2.3" dataDxfId="4"/>
    <tableColumn id="2" name="Benefícios Mensais e Diários" dataDxfId="5"/>
    <tableColumn id="3" name="Comentário" dataDxfId="6"/>
    <tableColumn id="4" name="Valor" dataDxfId="7"/>
  </tableColumns>
  <tableStyleInfo showFirstColumn="0" showLastColumn="0" showRowStripes="1" showColumnStripes="0"/>
</table>
</file>

<file path=xl/tables/table20.xml><?xml version="1.0" encoding="utf-8"?>
<table xmlns="http://schemas.openxmlformats.org/spreadsheetml/2006/main" id="111" name="Submódulo2.356_53112" displayName="Submódulo2.356_53112" ref="A58:D65" totalsRowCount="1">
  <autoFilter ref="A58:D64"/>
  <tableColumns count="4">
    <tableColumn id="1" name="2.3" totalsRowLabel="Total" dataDxfId="76"/>
    <tableColumn id="2" name="Benefícios Mensais e Diários" dataDxfId="77"/>
    <tableColumn id="3" name="Comentário" dataDxfId="78"/>
    <tableColumn id="4" name="Valor" totalsRowFunction="custom">
      <totalsRowFormula>TRUNC((SUM(D59:D64)),2)</totalsRowFormula>
       dataDxfId="79"
    </tableColumn>
  </tableColumns>
  <tableStyleInfo showFirstColumn="0" showLastColumn="0" showRowStripes="1" showColumnStripes="0"/>
</table>
</file>

<file path=xl/tables/table21.xml><?xml version="1.0" encoding="utf-8"?>
<table xmlns="http://schemas.openxmlformats.org/spreadsheetml/2006/main" id="112" name="ResumoMódulo257_60113" displayName="ResumoMódulo257_60113" ref="A68:D72" totalsRowCount="1">
  <autoFilter ref="A68:D71"/>
  <tableColumns count="4">
    <tableColumn id="1" name="2" totalsRowLabel="Total" dataDxfId="80"/>
    <tableColumn id="2" name="Encargos e Benefícios Anuais, Mensais e Diários" dataDxfId="81"/>
    <tableColumn id="3" name="Comentário" dataDxfId="82"/>
    <tableColumn id="4" name="Valor" totalsRowFunction="custom">
      <totalsRowFormula>TRUNC((SUM(D69:D71)),2)</totalsRowFormula>
       dataDxfId="83"
    </tableColumn>
  </tableColumns>
  <tableStyleInfo showFirstColumn="0" showLastColumn="0" showRowStripes="1" showColumnStripes="0"/>
</table>
</file>

<file path=xl/tables/table22.xml><?xml version="1.0" encoding="utf-8"?>
<table xmlns="http://schemas.openxmlformats.org/spreadsheetml/2006/main" id="113" name="Submódulo2.255_63114" displayName="Submódulo2.255_63114" ref="A46:D55" totalsRowCount="1">
  <autoFilter ref="A46:D54"/>
  <tableColumns count="4">
    <tableColumn id="1" name="2.2" totalsRowLabel="Total" dataDxfId="84"/>
    <tableColumn id="2" name="GPS, FGTS e outras contribuições" dataDxfId="85"/>
    <tableColumn id="3" name="Percentual" totalsRowFunction="custom">
      <totalsRowFormula>SUM(C47:C54)</totalsRowFormula>
       dataDxfId="86"
    </tableColumn>
    <tableColumn id="4" name="Valor " totalsRowFunction="custom">
      <totalsRowFormula>TRUNC(SUM(D47:D54),2)</totalsRowFormula>
       dataDxfId="87"
    </tableColumn>
  </tableColumns>
  <tableStyleInfo showFirstColumn="0" showLastColumn="0" showRowStripes="1" showColumnStripes="0"/>
</table>
</file>

<file path=xl/tables/table23.xml><?xml version="1.0" encoding="utf-8"?>
<table xmlns="http://schemas.openxmlformats.org/spreadsheetml/2006/main" id="114" name="ResumoMódulo461_62115" displayName="ResumoMódulo461_62115" ref="A106:D109" totalsRowCount="1">
  <autoFilter ref="A106:D108"/>
  <tableColumns count="4">
    <tableColumn id="1" name="4" totalsRowLabel="Total" dataDxfId="88"/>
    <tableColumn id="2" name="Custo de Reposição do Profissional Ausente" dataDxfId="89"/>
    <tableColumn id="3" name="Comentário" totalsRowLabel="*Nota: Se o titular USUFRUIR do descanso intrajornada, o total é o somatório dos subitens 4.1 e 4.2" dataDxfId="90"/>
    <tableColumn id="4" name="Valor" totalsRowFunction="custom">
      <totalsRowFormula>TRUNC((SUM(D107:D108)),2)</totalsRowFormula>
       dataDxfId="91"
    </tableColumn>
  </tableColumns>
  <tableStyleInfo showFirstColumn="0" showLastColumn="0" showRowStripes="1" showColumnStripes="0"/>
</table>
</file>

<file path=xl/tables/table24.xml><?xml version="1.0" encoding="utf-8"?>
<table xmlns="http://schemas.openxmlformats.org/spreadsheetml/2006/main" id="115" name="Módulo562_58116" displayName="Módulo562_58116" ref="A112:D118" totalsRowCount="1">
  <autoFilter ref="A112:D117"/>
  <tableColumns count="4">
    <tableColumn id="1" name="5" totalsRowLabel="Total" dataDxfId="92"/>
    <tableColumn id="2" name="Insumos Diversos" dataDxfId="93"/>
    <tableColumn id="3" name="Comentário" dataDxfId="94"/>
    <tableColumn id="4" name="Valor" totalsRowFunction="custom">
      <totalsRowFormula>TRUNC(SUM(D113:D117),2)</totalsRowFormula>
       dataDxfId="95"
    </tableColumn>
  </tableColumns>
  <tableStyleInfo showFirstColumn="0" showLastColumn="0" showRowStripes="1" showColumnStripes="0"/>
</table>
</file>

<file path=xl/tables/table25.xml><?xml version="1.0" encoding="utf-8"?>
<table xmlns="http://schemas.openxmlformats.org/spreadsheetml/2006/main" id="1" name="Módulo358_57" displayName="Módulo358_57" ref="A75:D82" totalsRowCount="1">
  <autoFilter ref="A75:D81"/>
  <tableColumns count="4">
    <tableColumn id="1" name="3" totalsRowLabel="Total" dataDxfId="96"/>
    <tableColumn id="2" name="Provisão para Rescisão" dataDxfId="97"/>
    <tableColumn id="3" name="Percentual" totalsRowFunction="custom">
      <totalsRowFormula>SUM(C76:C81)</totalsRowFormula>
       dataDxfId="98"
    </tableColumn>
    <tableColumn id="4" name="Valor" totalsRowFunction="custom">
      <totalsRowFormula>TRUNC((SUM(D76:D81)),2)</totalsRowFormula>
       dataDxfId="99"
    </tableColumn>
  </tableColumns>
  <tableStyleInfo showFirstColumn="0" showLastColumn="0" showRowStripes="1" showColumnStripes="0"/>
</table>
</file>

<file path=xl/tables/table26.xml><?xml version="1.0" encoding="utf-8"?>
<table xmlns="http://schemas.openxmlformats.org/spreadsheetml/2006/main" id="2" name="Table452_56" displayName="Table452_56" ref="A16:D21" totalsRowShown="0">
  <tableColumns count="4">
    <tableColumn id="1" name="Item" dataDxfId="100"/>
    <tableColumn id="2" name="Descrição" dataDxfId="101"/>
    <tableColumn id="3" name="Comentário" dataDxfId="102"/>
    <tableColumn id="4" name="Valor" dataDxfId="103"/>
  </tableColumns>
  <tableStyleInfo showFirstColumn="0" showLastColumn="0" showRowStripes="1" showColumnStripes="0"/>
</table>
</file>

<file path=xl/tables/table27.xml><?xml version="1.0" encoding="utf-8"?>
<table xmlns="http://schemas.openxmlformats.org/spreadsheetml/2006/main" id="3" name="Módulo562_58" displayName="Módulo562_58" ref="A112:D118" totalsRowCount="1">
  <autoFilter ref="A112:D117"/>
  <tableColumns count="4">
    <tableColumn id="1" name="5" totalsRowLabel="Total" dataDxfId="104"/>
    <tableColumn id="2" name="Insumos Diversos" dataDxfId="105"/>
    <tableColumn id="3" name="Comentário" dataDxfId="106"/>
    <tableColumn id="4" name="Valor" totalsRowFunction="custom">
      <totalsRowFormula>TRUNC(SUM(D113:D117),2)</totalsRowFormula>
       dataDxfId="107"
    </tableColumn>
  </tableColumns>
  <tableStyleInfo showFirstColumn="0" showLastColumn="0" showRowStripes="1" showColumnStripes="0"/>
</table>
</file>

<file path=xl/tables/table28.xml><?xml version="1.0" encoding="utf-8"?>
<table xmlns="http://schemas.openxmlformats.org/spreadsheetml/2006/main" id="4" name="Módulo663_59" displayName="Módulo663_59" ref="A128:D135" totalsRowCount="1">
  <tableColumns count="4">
    <tableColumn id="1" name="6" totalsRowLabel="Total" dataDxfId="108"/>
    <tableColumn id="2" name="Custos Indiretos, Tributos e Lucro" dataDxfId="109"/>
    <tableColumn id="3" name="Percentual" dataDxfId="110"/>
    <tableColumn id="4" name="Valor" totalsRowFunction="custom">
      <totalsRowFormula>TRUNC(SUM(D129:D131),2)</totalsRowFormula>
       dataDxfId="111"
    </tableColumn>
  </tableColumns>
  <tableStyleInfo showFirstColumn="0" showLastColumn="0" showRowStripes="1" showColumnStripes="0"/>
</table>
</file>

<file path=xl/tables/table29.xml><?xml version="1.0" encoding="utf-8"?>
<table xmlns="http://schemas.openxmlformats.org/spreadsheetml/2006/main" id="6" name="ResumoMódulo257_60" displayName="ResumoMódulo257_60" ref="A68:D72" totalsRowCount="1">
  <autoFilter ref="A68:D71"/>
  <tableColumns count="4">
    <tableColumn id="1" name="2" totalsRowLabel="Total" dataDxfId="112"/>
    <tableColumn id="2" name="Encargos e Benefícios Anuais, Mensais e Diários" dataDxfId="113"/>
    <tableColumn id="3" name="Comentário" dataDxfId="114"/>
    <tableColumn id="4" name="Valor" totalsRowFunction="custom">
      <totalsRowFormula>TRUNC((SUM(D69:D71)),2)</totalsRowFormula>
       dataDxfId="115"
    </tableColumn>
  </tableColumns>
  <tableStyleInfo showFirstColumn="0" showLastColumn="0" showRowStripes="1" showColumnStripes="0"/>
</table>
</file>

<file path=xl/tables/table3.xml><?xml version="1.0" encoding="utf-8"?>
<table xmlns="http://schemas.openxmlformats.org/spreadsheetml/2006/main" id="24" name="Submódulo4.1" displayName="Submódulo4.1" ref="A88:D95" totalsRowCount="1">
  <autoFilter ref="A88:D94"/>
  <tableColumns count="4">
    <tableColumn id="1" name="4.1" dataDxfId="8"/>
    <tableColumn id="2" name="Substituto nas Ausências Legais" dataDxfId="9"/>
    <tableColumn id="3" name="Dias de ausência" dataDxfId="10"/>
    <tableColumn id="4" name="Valor" dataDxfId="11"/>
  </tableColumns>
  <tableStyleInfo showFirstColumn="0" showLastColumn="0" showRowStripes="1" showColumnStripes="0"/>
</table>
</file>

<file path=xl/tables/table30.xml><?xml version="1.0" encoding="utf-8"?>
<table xmlns="http://schemas.openxmlformats.org/spreadsheetml/2006/main" id="8" name="Submódulo2.154_61" displayName="Submódulo2.154_61" ref="A36:D39" totalsRowCount="1">
  <autoFilter ref="A36:D38"/>
  <tableColumns count="4">
    <tableColumn id="1" name="2.1" totalsRowLabel="Total" dataDxfId="116"/>
    <tableColumn id="2" name="13º (décimo terceiro) Salário, Férias e Adicional de Férias" dataDxfId="117"/>
    <tableColumn id="3" name="Percentual" dataDxfId="118"/>
    <tableColumn id="4" name="Valor" totalsRowFunction="custom">
      <totalsRowFormula>TRUNC((SUM(D37:D38)),2)</totalsRowFormula>
       dataDxfId="119"
    </tableColumn>
  </tableColumns>
  <tableStyleInfo showFirstColumn="0" showLastColumn="0" showRowStripes="1" showColumnStripes="0"/>
</table>
</file>

<file path=xl/tables/table31.xml><?xml version="1.0" encoding="utf-8"?>
<table xmlns="http://schemas.openxmlformats.org/spreadsheetml/2006/main" id="10" name="ResumoMódulo461_62" displayName="ResumoMódulo461_62" ref="A106:D109" totalsRowCount="1">
  <autoFilter ref="A106:D108"/>
  <tableColumns count="4">
    <tableColumn id="1" name="4" totalsRowLabel="Total" dataDxfId="120"/>
    <tableColumn id="2" name="Custo de Reposição do Profissional Ausente" dataDxfId="121"/>
    <tableColumn id="3" name="Comentário" totalsRowLabel="*Nota: Se o titular USUFRUIR do descanso intrajornada, o total é o somatório dos subitens 4.1 e 4.2" dataDxfId="122"/>
    <tableColumn id="4" name="Valor" totalsRowFunction="custom">
      <totalsRowFormula>TRUNC((SUM(D107:D108)),2)</totalsRowFormula>
       dataDxfId="123"
    </tableColumn>
  </tableColumns>
  <tableStyleInfo showFirstColumn="0" showLastColumn="0" showRowStripes="1" showColumnStripes="0"/>
</table>
</file>

<file path=xl/tables/table32.xml><?xml version="1.0" encoding="utf-8"?>
<table xmlns="http://schemas.openxmlformats.org/spreadsheetml/2006/main" id="12" name="Submódulo2.255_63" displayName="Submódulo2.255_63" ref="A46:D55" totalsRowCount="1">
  <autoFilter ref="A46:D54"/>
  <tableColumns count="4">
    <tableColumn id="1" name="2.2" totalsRowLabel="Total" dataDxfId="124"/>
    <tableColumn id="2" name="GPS, FGTS e outras contribuições" dataDxfId="125"/>
    <tableColumn id="3" name="Percentual" totalsRowFunction="custom">
      <totalsRowFormula>SUM(C47:C54)</totalsRowFormula>
       dataDxfId="126"
    </tableColumn>
    <tableColumn id="4" name="Valor " totalsRowFunction="custom">
      <totalsRowFormula>TRUNC((SUM(D47:D54)),2)</totalsRowFormula>
       dataDxfId="127"
    </tableColumn>
  </tableColumns>
  <tableStyleInfo showFirstColumn="0" showLastColumn="0" showRowStripes="1" showColumnStripes="0"/>
</table>
</file>

<file path=xl/tables/table33.xml><?xml version="1.0" encoding="utf-8"?>
<table xmlns="http://schemas.openxmlformats.org/spreadsheetml/2006/main" id="14" name="Módulo153_52" displayName="Módulo153_52" ref="A24:D31" totalsRowCount="1">
  <autoFilter ref="A24:D30"/>
  <tableColumns count="4">
    <tableColumn id="1" name="1" totalsRowLabel="Total" dataDxfId="128"/>
    <tableColumn id="2" name="Composição da Remuneração" dataDxfId="129"/>
    <tableColumn id="3" name="Comentário" dataDxfId="130"/>
    <tableColumn id="4" name="Valor" totalsRowFunction="custom">
      <totalsRowFormula>TRUNC((SUM(D25:D30)),2)</totalsRowFormula>
       dataDxfId="131"
    </tableColumn>
  </tableColumns>
  <tableStyleInfo showFirstColumn="0" showLastColumn="0" showRowStripes="1" showColumnStripes="0"/>
</table>
</file>

<file path=xl/tables/table34.xml><?xml version="1.0" encoding="utf-8"?>
<table xmlns="http://schemas.openxmlformats.org/spreadsheetml/2006/main" id="16" name="ResumoPosto64_64" displayName="ResumoPosto64_64" ref="A139:D148" totalsRowShown="0">
  <autoFilter ref="A139:D148"/>
  <tableColumns count="4">
    <tableColumn id="1" name="Item" dataDxfId="132"/>
    <tableColumn id="2" name="Mão de obra vinculada à execução contratual" dataDxfId="133"/>
    <tableColumn id="3" name="-" dataDxfId="134"/>
    <tableColumn id="4" name="Valor" dataDxfId="135"/>
  </tableColumns>
  <tableStyleInfo showFirstColumn="0" showLastColumn="0" showRowStripes="1" showColumnStripes="0"/>
</table>
</file>

<file path=xl/tables/table35.xml><?xml version="1.0" encoding="utf-8"?>
<table xmlns="http://schemas.openxmlformats.org/spreadsheetml/2006/main" id="18" name="Submódulo2.356_53" displayName="Submódulo2.356_53" ref="A58:D65" totalsRowCount="1">
  <autoFilter ref="A58:D64"/>
  <tableColumns count="4">
    <tableColumn id="1" name="2.3" totalsRowLabel="Total" dataDxfId="136"/>
    <tableColumn id="2" name="Benefícios Mensais e Diários" dataDxfId="137"/>
    <tableColumn id="3" name="Comentário" dataDxfId="138"/>
    <tableColumn id="4" name="Valor" totalsRowFunction="custom">
      <totalsRowFormula>TRUNC((SUM(D59:D64)),2)</totalsRowFormula>
       dataDxfId="139"
    </tableColumn>
  </tableColumns>
  <tableStyleInfo showFirstColumn="0" showLastColumn="0" showRowStripes="1" showColumnStripes="0"/>
</table>
</file>

<file path=xl/tables/table36.xml><?xml version="1.0" encoding="utf-8"?>
<table xmlns="http://schemas.openxmlformats.org/spreadsheetml/2006/main" id="38" name="Submódulo4.260_55" displayName="Submódulo4.260_55" ref="A101:D103" totalsRowCount="1">
  <autoFilter ref="A101:D102"/>
  <tableColumns count="4">
    <tableColumn id="1" name="4.2" totalsRowLabel="Total" dataDxfId="140"/>
    <tableColumn id="2" name="Substituto na Intrajornada " dataDxfId="141"/>
    <tableColumn id="3" name="Comentário" dataDxfId="142"/>
    <tableColumn id="4" name="Valor" totalsRowFunction="custom">
      <totalsRowFormula>D102</totalsRowFormula>
       dataDxfId="143"
    </tableColumn>
  </tableColumns>
  <tableStyleInfo showFirstColumn="0" showLastColumn="0" showRowStripes="1" showColumnStripes="0"/>
</table>
</file>

<file path=xl/tables/table37.xml><?xml version="1.0" encoding="utf-8"?>
<table xmlns="http://schemas.openxmlformats.org/spreadsheetml/2006/main" id="39" name="Submódulo4.159_54" displayName="Submódulo4.159_54" ref="A91:D98" totalsRowCount="1">
  <autoFilter ref="A91:D97"/>
  <tableColumns count="4">
    <tableColumn id="1" name="4.1" totalsRowLabel="Total" dataDxfId="144"/>
    <tableColumn id="2" name="Substituto nas Ausências Legais" dataDxfId="145"/>
    <tableColumn id="3" name="Percentual" totalsRowFunction="custom">
      <totalsRowFormula>SUM(C92:C97)</totalsRowFormula>
       dataDxfId="146"
    </tableColumn>
    <tableColumn id="4" name="Valor" totalsRowFunction="custom">
      <totalsRowFormula>TRUNC((SUM(D92:D97)),2)</totalsRowFormula>
       dataDxfId="147"
    </tableColumn>
  </tableColumns>
  <tableStyleInfo showFirstColumn="0" showLastColumn="0" showRowStripes="1" showColumnStripes="0"/>
</table>
</file>

<file path=xl/tables/table38.xml><?xml version="1.0" encoding="utf-8"?>
<table xmlns="http://schemas.openxmlformats.org/spreadsheetml/2006/main" id="77" name="Módulo153_78" displayName="Módulo153_78" ref="A24:D31" totalsRowCount="1">
  <autoFilter ref="A24:D30"/>
  <tableColumns count="4">
    <tableColumn id="1" name="1" totalsRowLabel="Total" dataDxfId="148"/>
    <tableColumn id="2" name="Composição da Remuneração" dataDxfId="149"/>
    <tableColumn id="3" name="Comentário" dataDxfId="150"/>
    <tableColumn id="4" name="Valor" totalsRowFunction="custom">
      <totalsRowFormula>TRUNC(SUM(D25:D30),2)</totalsRowFormula>
       dataDxfId="151"
    </tableColumn>
  </tableColumns>
  <tableStyleInfo showFirstColumn="0" showLastColumn="0" showRowStripes="1" showColumnStripes="0"/>
</table>
</file>

<file path=xl/tables/table39.xml><?xml version="1.0" encoding="utf-8"?>
<table xmlns="http://schemas.openxmlformats.org/spreadsheetml/2006/main" id="78" name="Submódulo2.356_79" displayName="Submódulo2.356_79" ref="A58:D65" totalsRowCount="1">
  <autoFilter ref="A58:D64"/>
  <tableColumns count="4">
    <tableColumn id="1" name="2.3" totalsRowLabel="Total" dataDxfId="152"/>
    <tableColumn id="2" name="Benefícios Mensais e Diários" dataDxfId="153"/>
    <tableColumn id="3" name="Comentário" dataDxfId="154"/>
    <tableColumn id="4" name="Valor" totalsRowFunction="custom">
      <totalsRowFormula>TRUNC((SUM(D59:D64)),2)</totalsRowFormula>
       dataDxfId="155"
    </tableColumn>
  </tableColumns>
  <tableStyleInfo showFirstColumn="0" showLastColumn="0" showRowStripes="1" showColumnStripes="0"/>
</table>
</file>

<file path=xl/tables/table4.xml><?xml version="1.0" encoding="utf-8"?>
<table xmlns="http://schemas.openxmlformats.org/spreadsheetml/2006/main" id="26" name="Submódulo4.2" displayName="Submódulo4.2" ref="A103:D105" totalsRowCount="1">
  <autoFilter ref="A103:D104"/>
  <tableColumns count="4">
    <tableColumn id="1" name="4.2" dataDxfId="12"/>
    <tableColumn id="2" name="Substituto na Intrajornada " dataDxfId="13"/>
    <tableColumn id="3" name="Comentário" dataDxfId="14"/>
    <tableColumn id="4" name="Valor" dataDxfId="15"/>
  </tableColumns>
  <tableStyleInfo showFirstColumn="0" showLastColumn="0" showRowStripes="1" showColumnStripes="0"/>
</table>
</file>

<file path=xl/tables/table40.xml><?xml version="1.0" encoding="utf-8"?>
<table xmlns="http://schemas.openxmlformats.org/spreadsheetml/2006/main" id="79" name="Submódulo4.159_80" displayName="Submódulo4.159_80" ref="A91:D98" totalsRowCount="1">
  <autoFilter ref="A91:D97"/>
  <tableColumns count="4">
    <tableColumn id="1" name="4.1" totalsRowLabel="Total" dataDxfId="156"/>
    <tableColumn id="2" name="Substituto nas Ausências Legais" dataDxfId="157"/>
    <tableColumn id="3" name="Percentual" totalsRowFunction="custom">
      <totalsRowFormula>SUM(C92:C97)</totalsRowFormula>
       dataDxfId="158"
    </tableColumn>
    <tableColumn id="4" name="Valor" totalsRowFunction="custom">
      <totalsRowFormula>TRUNC((SUM(D92:D97)),2)</totalsRowFormula>
       dataDxfId="159"
    </tableColumn>
  </tableColumns>
  <tableStyleInfo showFirstColumn="0" showLastColumn="0" showRowStripes="1" showColumnStripes="0"/>
</table>
</file>

<file path=xl/tables/table41.xml><?xml version="1.0" encoding="utf-8"?>
<table xmlns="http://schemas.openxmlformats.org/spreadsheetml/2006/main" id="80" name="Submódulo4.260_81" displayName="Submódulo4.260_81" ref="A101:D103" totalsRowCount="1">
  <autoFilter ref="A101:D102"/>
  <tableColumns count="4">
    <tableColumn id="1" name="4.2" totalsRowLabel="Total" dataDxfId="160"/>
    <tableColumn id="2" name="Substituto na Intrajornada " dataDxfId="161"/>
    <tableColumn id="3" name="Comentário" dataDxfId="162"/>
    <tableColumn id="4" name="Valor" totalsRowFunction="custom">
      <totalsRowFormula>D102</totalsRowFormula>
       dataDxfId="163"
    </tableColumn>
  </tableColumns>
  <tableStyleInfo showFirstColumn="0" showLastColumn="0" showRowStripes="1" showColumnStripes="0"/>
</table>
</file>

<file path=xl/tables/table42.xml><?xml version="1.0" encoding="utf-8"?>
<table xmlns="http://schemas.openxmlformats.org/spreadsheetml/2006/main" id="81" name="Table452_82" displayName="Table452_82" ref="A16:D21" totalsRowShown="0">
  <tableColumns count="4">
    <tableColumn id="1" name="Item" dataDxfId="164"/>
    <tableColumn id="2" name="Descrição" dataDxfId="165"/>
    <tableColumn id="3" name="Comentário" dataDxfId="166"/>
    <tableColumn id="4" name="Valor" dataDxfId="167"/>
  </tableColumns>
  <tableStyleInfo showFirstColumn="0" showLastColumn="0" showRowStripes="1" showColumnStripes="0"/>
</table>
</file>

<file path=xl/tables/table43.xml><?xml version="1.0" encoding="utf-8"?>
<table xmlns="http://schemas.openxmlformats.org/spreadsheetml/2006/main" id="82" name="Módulo358_83" displayName="Módulo358_83" ref="A75:D82" totalsRowCount="1">
  <autoFilter ref="A75:D81"/>
  <tableColumns count="4">
    <tableColumn id="1" name="3" totalsRowLabel="Total" dataDxfId="168"/>
    <tableColumn id="2" name="Provisão para Rescisão" dataDxfId="169"/>
    <tableColumn id="3" name="Percentual" totalsRowFunction="custom">
      <totalsRowFormula>SUM(C76:C81)</totalsRowFormula>
       dataDxfId="170"
    </tableColumn>
    <tableColumn id="4" name="Valor" totalsRowFunction="custom">
      <totalsRowFormula>TRUNC((SUM(D76:D81)),2)</totalsRowFormula>
       dataDxfId="171"
    </tableColumn>
  </tableColumns>
  <tableStyleInfo showFirstColumn="0" showLastColumn="0" showRowStripes="1" showColumnStripes="0"/>
</table>
</file>

<file path=xl/tables/table44.xml><?xml version="1.0" encoding="utf-8"?>
<table xmlns="http://schemas.openxmlformats.org/spreadsheetml/2006/main" id="83" name="Módulo562_84" displayName="Módulo562_84" ref="A112:D118" totalsRowCount="1">
  <autoFilter ref="A112:D117"/>
  <tableColumns count="4">
    <tableColumn id="1" name="5" totalsRowLabel="Total" dataDxfId="172"/>
    <tableColumn id="2" name="Insumos Diversos" dataDxfId="173"/>
    <tableColumn id="3" name="Comentário" dataDxfId="174"/>
    <tableColumn id="4" name="Valor" totalsRowFunction="custom">
      <totalsRowFormula>TRUNC(SUM(D113:D117),2)</totalsRowFormula>
       dataDxfId="175"
    </tableColumn>
  </tableColumns>
  <tableStyleInfo showFirstColumn="0" showLastColumn="0" showRowStripes="1" showColumnStripes="0"/>
</table>
</file>

<file path=xl/tables/table45.xml><?xml version="1.0" encoding="utf-8"?>
<table xmlns="http://schemas.openxmlformats.org/spreadsheetml/2006/main" id="84" name="Módulo663_85" displayName="Módulo663_85" ref="A128:D135" totalsRowCount="1">
  <tableColumns count="4">
    <tableColumn id="1" name="6" totalsRowLabel="Total" dataDxfId="176"/>
    <tableColumn id="2" name="Custos Indiretos, Tributos e Lucro" dataDxfId="177"/>
    <tableColumn id="3" name="Percentual" dataDxfId="178"/>
    <tableColumn id="4" name="Valor" totalsRowFunction="custom">
      <totalsRowFormula>TRUNC(SUM(D129:D131),2)</totalsRowFormula>
       dataDxfId="179"
    </tableColumn>
  </tableColumns>
  <tableStyleInfo showFirstColumn="0" showLastColumn="0" showRowStripes="1" showColumnStripes="0"/>
</table>
</file>

<file path=xl/tables/table46.xml><?xml version="1.0" encoding="utf-8"?>
<table xmlns="http://schemas.openxmlformats.org/spreadsheetml/2006/main" id="85" name="ResumoMódulo257_86" displayName="ResumoMódulo257_86" ref="A68:D72" totalsRowCount="1">
  <autoFilter ref="A68:D71"/>
  <tableColumns count="4">
    <tableColumn id="1" name="2" totalsRowLabel="Total" dataDxfId="180"/>
    <tableColumn id="2" name="Encargos e Benefícios Anuais, Mensais e Diários" dataDxfId="181"/>
    <tableColumn id="3" name="Comentário" dataDxfId="182"/>
    <tableColumn id="4" name="Valor" totalsRowFunction="custom">
      <totalsRowFormula>TRUNC(SUM(D69:D71),2)</totalsRowFormula>
       dataDxfId="183"
    </tableColumn>
  </tableColumns>
  <tableStyleInfo showFirstColumn="0" showLastColumn="0" showRowStripes="1" showColumnStripes="0"/>
</table>
</file>

<file path=xl/tables/table47.xml><?xml version="1.0" encoding="utf-8"?>
<table xmlns="http://schemas.openxmlformats.org/spreadsheetml/2006/main" id="86" name="Submódulo2.154_87" displayName="Submódulo2.154_87" ref="A36:D39" totalsRowCount="1">
  <autoFilter ref="A36:D38"/>
  <tableColumns count="4">
    <tableColumn id="1" name="2.1" totalsRowLabel="Total" dataDxfId="184"/>
    <tableColumn id="2" name="13º (décimo terceiro) Salário, Férias e Adicional de Férias" dataDxfId="185"/>
    <tableColumn id="3" name="Percentual" dataDxfId="186"/>
    <tableColumn id="4" name="Valor" totalsRowFunction="custom">
      <totalsRowFormula>TRUNC((SUM(D37:D38)),2)</totalsRowFormula>
       dataDxfId="187"
    </tableColumn>
  </tableColumns>
  <tableStyleInfo showFirstColumn="0" showLastColumn="0" showRowStripes="1" showColumnStripes="0"/>
</table>
</file>

<file path=xl/tables/table48.xml><?xml version="1.0" encoding="utf-8"?>
<table xmlns="http://schemas.openxmlformats.org/spreadsheetml/2006/main" id="87" name="ResumoMódulo461_88" displayName="ResumoMódulo461_88" ref="A106:D109" totalsRowCount="1">
  <autoFilter ref="A106:D108"/>
  <tableColumns count="4">
    <tableColumn id="1" name="4" totalsRowLabel="Total" dataDxfId="188"/>
    <tableColumn id="2" name="Custo de Reposição do Profissional Ausente" dataDxfId="189"/>
    <tableColumn id="3" name="Comentário" totalsRowLabel="*Nota: Se o titular USUFRUIR do descanso intrajornada, o total é o somatório dos subitens 4.1 e 4.2" dataDxfId="190"/>
    <tableColumn id="4" name="Valor" totalsRowFunction="custom">
      <totalsRowFormula>TRUNC((SUM(D107:D108)),2)</totalsRowFormula>
       dataDxfId="191"
    </tableColumn>
  </tableColumns>
  <tableStyleInfo showFirstColumn="0" showLastColumn="0" showRowStripes="1" showColumnStripes="0"/>
</table>
</file>

<file path=xl/tables/table49.xml><?xml version="1.0" encoding="utf-8"?>
<table xmlns="http://schemas.openxmlformats.org/spreadsheetml/2006/main" id="88" name="Submódulo2.255_89" displayName="Submódulo2.255_89" ref="A46:D55" totalsRowCount="1">
  <autoFilter ref="A46:D54"/>
  <tableColumns count="4">
    <tableColumn id="1" name="2.2" totalsRowLabel="Total" dataDxfId="192"/>
    <tableColumn id="2" name="GPS, FGTS e outras contribuições" dataDxfId="193"/>
    <tableColumn id="3" name="Percentual" totalsRowFunction="custom">
      <totalsRowFormula>SUM(C47:C54)</totalsRowFormula>
       dataDxfId="194"
    </tableColumn>
    <tableColumn id="4" name="Valor " totalsRowFunction="custom">
      <totalsRowFormula>TRUNC((SUM(D47:D54)),2)</totalsRowFormula>
       dataDxfId="195"
    </tableColumn>
  </tableColumns>
  <tableStyleInfo showFirstColumn="0" showLastColumn="0" showRowStripes="1" showColumnStripes="0"/>
</table>
</file>

<file path=xl/tables/table5.xml><?xml version="1.0" encoding="utf-8"?>
<table xmlns="http://schemas.openxmlformats.org/spreadsheetml/2006/main" id="28" name="Table4" displayName="Table4" ref="A2:D7" totalsRowShown="0">
  <tableColumns count="4">
    <tableColumn id="1" name="Item" dataDxfId="16"/>
    <tableColumn id="2" name="Descrição" dataDxfId="17"/>
    <tableColumn id="3" name="Comentário" dataDxfId="18"/>
    <tableColumn id="4" name="Valor" dataDxfId="19"/>
  </tableColumns>
  <tableStyleInfo showFirstColumn="0" showLastColumn="0" showRowStripes="1" showColumnStripes="0"/>
</table>
</file>

<file path=xl/tables/table50.xml><?xml version="1.0" encoding="utf-8"?>
<table xmlns="http://schemas.openxmlformats.org/spreadsheetml/2006/main" id="89" name="ResumoPosto64_90" displayName="ResumoPosto64_90" ref="A139:D147" totalsRowShown="0">
  <autoFilter ref="A139:D147"/>
  <tableColumns count="4">
    <tableColumn id="1" name="Item" dataDxfId="196"/>
    <tableColumn id="2" name="Mão de obra vinculada à execução contratual" dataDxfId="197"/>
    <tableColumn id="3" name="-" dataDxfId="198"/>
    <tableColumn id="4" name="Valor" dataDxfId="199"/>
  </tableColumns>
  <tableStyleInfo showFirstColumn="0" showLastColumn="0" showRowStripes="1" showColumnStripes="0"/>
</table>
</file>

<file path=xl/tables/table51.xml><?xml version="1.0" encoding="utf-8"?>
<table xmlns="http://schemas.openxmlformats.org/spreadsheetml/2006/main" id="9" name="Submódulo2.356_7931" displayName="Submódulo2.356_7931" ref="A58:D65" totalsRowCount="1">
  <autoFilter ref="A58:D64"/>
  <tableColumns count="4">
    <tableColumn id="1" name="2.3" totalsRowLabel="Total" dataDxfId="200"/>
    <tableColumn id="2" name="Benefícios Mensais e Diários" dataDxfId="201"/>
    <tableColumn id="3" name="Comentário" dataDxfId="202"/>
    <tableColumn id="4" name="Valor" totalsRowFunction="custom">
      <totalsRowFormula>TRUNC((SUM(D59:D64)),2)</totalsRowFormula>
       dataDxfId="203"
    </tableColumn>
  </tableColumns>
  <tableStyleInfo showFirstColumn="0" showLastColumn="0" showRowStripes="1" showColumnStripes="0"/>
</table>
</file>

<file path=xl/tables/table52.xml><?xml version="1.0" encoding="utf-8"?>
<table xmlns="http://schemas.openxmlformats.org/spreadsheetml/2006/main" id="11" name="ResumoMódulo257_8630" displayName="ResumoMódulo257_8630" ref="A68:D72" totalsRowCount="1">
  <autoFilter ref="A68:D71"/>
  <tableColumns count="4">
    <tableColumn id="1" name="2" totalsRowLabel="Total" dataDxfId="204"/>
    <tableColumn id="2" name="Encargos e Benefícios Anuais, Mensais e Diários" dataDxfId="205"/>
    <tableColumn id="3" name="Comentário" dataDxfId="206"/>
    <tableColumn id="4" name="Valor" totalsRowFunction="custom">
      <totalsRowFormula>TRUNC(SUM(D69:D71),2)</totalsRowFormula>
       dataDxfId="207"
    </tableColumn>
  </tableColumns>
  <tableStyleInfo showFirstColumn="0" showLastColumn="0" showRowStripes="1" showColumnStripes="0"/>
</table>
</file>

<file path=xl/tables/table53.xml><?xml version="1.0" encoding="utf-8"?>
<table xmlns="http://schemas.openxmlformats.org/spreadsheetml/2006/main" id="13" name="Módulo663_8532" displayName="Módulo663_8532" ref="A128:D135" totalsRowCount="1">
  <tableColumns count="4">
    <tableColumn id="1" name="6" totalsRowLabel="Total" dataDxfId="208"/>
    <tableColumn id="2" name="Custos Indiretos, Tributos e Lucro" dataDxfId="209"/>
    <tableColumn id="3" name="Percentual" dataDxfId="210"/>
    <tableColumn id="4" name="Valor" totalsRowFunction="custom">
      <totalsRowFormula>TRUNC(SUM(D129:D131),2)</totalsRowFormula>
       dataDxfId="211"
    </tableColumn>
  </tableColumns>
  <tableStyleInfo showFirstColumn="0" showLastColumn="0" showRowStripes="1" showColumnStripes="0"/>
</table>
</file>

<file path=xl/tables/table54.xml><?xml version="1.0" encoding="utf-8"?>
<table xmlns="http://schemas.openxmlformats.org/spreadsheetml/2006/main" id="15" name="Submódulo2.154_8712" displayName="Submódulo2.154_8712" ref="A36:D39" totalsRowCount="1">
  <autoFilter ref="A36:D38"/>
  <tableColumns count="4">
    <tableColumn id="1" name="2.1" totalsRowLabel="Total" dataDxfId="212"/>
    <tableColumn id="2" name="13º (décimo terceiro) Salário, Férias e Adicional de Férias" dataDxfId="213"/>
    <tableColumn id="3" name="Percentual" dataDxfId="214"/>
    <tableColumn id="4" name="Valor" totalsRowFunction="custom">
      <totalsRowFormula>TRUNC((SUM(D37:D38)),2)</totalsRowFormula>
       dataDxfId="215"
    </tableColumn>
  </tableColumns>
  <tableStyleInfo showFirstColumn="0" showLastColumn="0" showRowStripes="1" showColumnStripes="0"/>
</table>
</file>

<file path=xl/tables/table55.xml><?xml version="1.0" encoding="utf-8"?>
<table xmlns="http://schemas.openxmlformats.org/spreadsheetml/2006/main" id="17" name="ResumoMódulo461_8814" displayName="ResumoMódulo461_8814" ref="A106:D109" totalsRowCount="1">
  <autoFilter ref="A106:D108"/>
  <tableColumns count="4">
    <tableColumn id="1" name="4" totalsRowLabel="Total" dataDxfId="216"/>
    <tableColumn id="2" name="Custo de Reposição do Profissional Ausente" dataDxfId="217"/>
    <tableColumn id="3" name="Comentário" totalsRowLabel="*Nota: Se o titular USUFRUIR do descanso intrajornada, o total é o somatório dos subitens 4.1 e 4.2" dataDxfId="218"/>
    <tableColumn id="4" name="Valor" totalsRowFunction="custom">
      <totalsRowFormula>TRUNC((SUM(D107:D108)),2)</totalsRowFormula>
       dataDxfId="219"
    </tableColumn>
  </tableColumns>
  <tableStyleInfo showFirstColumn="0" showLastColumn="0" showRowStripes="1" showColumnStripes="0"/>
</table>
</file>

<file path=xl/tables/table56.xml><?xml version="1.0" encoding="utf-8"?>
<table xmlns="http://schemas.openxmlformats.org/spreadsheetml/2006/main" id="19" name="Submódulo2.255_8916" displayName="Submódulo2.255_8916" ref="A46:D55" totalsRowCount="1">
  <autoFilter ref="A46:D54"/>
  <tableColumns count="4">
    <tableColumn id="1" name="2.2" totalsRowLabel="Total" dataDxfId="220"/>
    <tableColumn id="2" name="GPS, FGTS e outras contribuições" dataDxfId="221"/>
    <tableColumn id="3" name="Percentual" totalsRowFunction="custom">
      <totalsRowFormula>SUM(C47:C54)</totalsRowFormula>
       dataDxfId="222"
    </tableColumn>
    <tableColumn id="4" name="Valor " totalsRowFunction="custom">
      <totalsRowFormula>TRUNC((SUM(D47:D54)),2)</totalsRowFormula>
       dataDxfId="223"
    </tableColumn>
  </tableColumns>
  <tableStyleInfo showFirstColumn="0" showLastColumn="0" showRowStripes="1" showColumnStripes="0"/>
</table>
</file>

<file path=xl/tables/table57.xml><?xml version="1.0" encoding="utf-8"?>
<table xmlns="http://schemas.openxmlformats.org/spreadsheetml/2006/main" id="21" name="ResumoPosto64_9010" displayName="ResumoPosto64_9010" ref="A139:D147" totalsRowShown="0">
  <autoFilter ref="A139:D147"/>
  <tableColumns count="4">
    <tableColumn id="1" name="Item" dataDxfId="224"/>
    <tableColumn id="2" name="Mão de obra vinculada à execução contratual" dataDxfId="225"/>
    <tableColumn id="3" name="-" dataDxfId="226"/>
    <tableColumn id="4" name="Valor" dataDxfId="227"/>
  </tableColumns>
  <tableStyleInfo showFirstColumn="0" showLastColumn="0" showRowStripes="1" showColumnStripes="0"/>
</table>
</file>

<file path=xl/tables/table58.xml><?xml version="1.0" encoding="utf-8"?>
<table xmlns="http://schemas.openxmlformats.org/spreadsheetml/2006/main" id="23" name="Módulo153_7828" displayName="Módulo153_7828" ref="A24:D31" totalsRowCount="1">
  <autoFilter ref="A24:D30"/>
  <tableColumns count="4">
    <tableColumn id="1" name="1" totalsRowLabel="Total" dataDxfId="228"/>
    <tableColumn id="2" name="Composição da Remuneração" dataDxfId="229"/>
    <tableColumn id="3" name="Comentário" dataDxfId="230"/>
    <tableColumn id="4" name="Valor" totalsRowFunction="custom">
      <totalsRowFormula>TRUNC(SUM(D25:D30),2)</totalsRowFormula>
       dataDxfId="231"
    </tableColumn>
  </tableColumns>
  <tableStyleInfo showFirstColumn="0" showLastColumn="0" showRowStripes="1" showColumnStripes="0"/>
</table>
</file>

<file path=xl/tables/table59.xml><?xml version="1.0" encoding="utf-8"?>
<table xmlns="http://schemas.openxmlformats.org/spreadsheetml/2006/main" id="25" name="Módulo562_8424" displayName="Módulo562_8424" ref="A112:D118" totalsRowCount="1">
  <autoFilter ref="A112:D117"/>
  <tableColumns count="4">
    <tableColumn id="1" name="5" totalsRowLabel="Total" dataDxfId="232"/>
    <tableColumn id="2" name="Insumos Diversos" dataDxfId="233"/>
    <tableColumn id="3" name="Comentário" dataDxfId="234"/>
    <tableColumn id="4" name="Valor" totalsRowFunction="custom">
      <totalsRowFormula>TRUNC(SUM((D113:D117)),2)</totalsRowFormula>
       dataDxfId="235"
    </tableColumn>
  </tableColumns>
  <tableStyleInfo showFirstColumn="0" showLastColumn="0" showRowStripes="1" showColumnStripes="0"/>
</table>
</file>

<file path=xl/tables/table6.xml><?xml version="1.0" encoding="utf-8"?>
<table xmlns="http://schemas.openxmlformats.org/spreadsheetml/2006/main" id="32" name="Table8" displayName="Table8" ref="A27:D29" totalsRowShown="0">
  <autoFilter ref="A27:D29"/>
  <tableColumns count="4">
    <tableColumn id="1" name="Item" dataDxfId="20"/>
    <tableColumn id="2" name="Rubrica" dataDxfId="21"/>
    <tableColumn id="3" name="Base de Cálculo" dataDxfId="22"/>
    <tableColumn id="4" name="Memória de Cálculo" dataDxfId="23"/>
  </tableColumns>
  <tableStyleInfo showFirstColumn="0" showLastColumn="0" showRowStripes="1" showColumnStripes="0"/>
</table>
</file>

<file path=xl/tables/table60.xml><?xml version="1.0" encoding="utf-8"?>
<table xmlns="http://schemas.openxmlformats.org/spreadsheetml/2006/main" id="27" name="Submódulo4.159_8018" displayName="Submódulo4.159_8018" ref="A91:D98" totalsRowCount="1">
  <autoFilter ref="A91:D97"/>
  <tableColumns count="4">
    <tableColumn id="1" name="4.1" totalsRowLabel="Total" dataDxfId="236"/>
    <tableColumn id="2" name="Substituto nas Ausências Legais" dataDxfId="237"/>
    <tableColumn id="3" name="Percentual" totalsRowFunction="custom">
      <totalsRowFormula>SUM(C92:C97)</totalsRowFormula>
       dataDxfId="238"
    </tableColumn>
    <tableColumn id="4" name="Valor" totalsRowFunction="custom">
      <totalsRowFormula>TRUNC((SUM(D92:D97)),2)</totalsRowFormula>
       dataDxfId="239"
    </tableColumn>
  </tableColumns>
  <tableStyleInfo showFirstColumn="0" showLastColumn="0" showRowStripes="1" showColumnStripes="0"/>
</table>
</file>

<file path=xl/tables/table61.xml><?xml version="1.0" encoding="utf-8"?>
<table xmlns="http://schemas.openxmlformats.org/spreadsheetml/2006/main" id="29" name="Módulo358_8326" displayName="Módulo358_8326" ref="A75:D82" totalsRowCount="1">
  <autoFilter ref="A75:D81"/>
  <tableColumns count="4">
    <tableColumn id="1" name="3" totalsRowLabel="Total" dataDxfId="240"/>
    <tableColumn id="2" name="Provisão para Rescisão" dataDxfId="241"/>
    <tableColumn id="3" name="Percentual" totalsRowFunction="custom">
      <totalsRowFormula>SUM(C76:C81)</totalsRowFormula>
       dataDxfId="242"
    </tableColumn>
    <tableColumn id="4" name="Valor" totalsRowFunction="custom">
      <totalsRowFormula>TRUNC((SUM(D76:D81)),2)</totalsRowFormula>
       dataDxfId="243"
    </tableColumn>
  </tableColumns>
  <tableStyleInfo showFirstColumn="0" showLastColumn="0" showRowStripes="1" showColumnStripes="0"/>
</table>
</file>

<file path=xl/tables/table62.xml><?xml version="1.0" encoding="utf-8"?>
<table xmlns="http://schemas.openxmlformats.org/spreadsheetml/2006/main" id="30" name="Table452_8222" displayName="Table452_8222" ref="A16:D21" totalsRowShown="0">
  <tableColumns count="4">
    <tableColumn id="1" name="Item" dataDxfId="244"/>
    <tableColumn id="2" name="Descrição" dataDxfId="245"/>
    <tableColumn id="3" name="Comentário" dataDxfId="246"/>
    <tableColumn id="4" name="Valor" dataDxfId="247"/>
  </tableColumns>
  <tableStyleInfo showFirstColumn="0" showLastColumn="0" showRowStripes="1" showColumnStripes="0"/>
</table>
</file>

<file path=xl/tables/table63.xml><?xml version="1.0" encoding="utf-8"?>
<table xmlns="http://schemas.openxmlformats.org/spreadsheetml/2006/main" id="31" name="Submódulo4.260_8120" displayName="Submódulo4.260_8120" ref="A101:D103" totalsRowCount="1">
  <autoFilter ref="A101:D102"/>
  <tableColumns count="4">
    <tableColumn id="1" name="4.2" totalsRowLabel="Total" dataDxfId="248"/>
    <tableColumn id="2" name="Substituto na Intrajornada " dataDxfId="249"/>
    <tableColumn id="3" name="Comentário" dataDxfId="250"/>
    <tableColumn id="4" name="Valor" totalsRowFunction="custom">
      <totalsRowFormula>D102</totalsRowFormula>
       dataDxfId="251"
    </tableColumn>
  </tableColumns>
  <tableStyleInfo showFirstColumn="0" showLastColumn="0" showRowStripes="1" showColumnStripes="0"/>
</table>
</file>

<file path=xl/tables/table64.xml><?xml version="1.0" encoding="utf-8"?>
<table xmlns="http://schemas.openxmlformats.org/spreadsheetml/2006/main" id="64" name="Submódulo4.260_812010265" displayName="Submódulo4.260_812010265" ref="A101:D103" totalsRowCount="1">
  <autoFilter ref="A101:D102"/>
  <tableColumns count="4">
    <tableColumn id="1" name="4.2" totalsRowLabel="Total" dataDxfId="252"/>
    <tableColumn id="2" name="Substituto na Intrajornada " dataDxfId="253"/>
    <tableColumn id="3" name="Comentário" dataDxfId="254"/>
    <tableColumn id="4" name="Valor" totalsRowFunction="custom">
      <totalsRowFormula>D102</totalsRowFormula>
       dataDxfId="255"
    </tableColumn>
  </tableColumns>
  <tableStyleInfo showFirstColumn="0" showLastColumn="0" showRowStripes="1" showColumnStripes="0"/>
</table>
</file>

<file path=xl/tables/table65.xml><?xml version="1.0" encoding="utf-8"?>
<table xmlns="http://schemas.openxmlformats.org/spreadsheetml/2006/main" id="65" name="Submódulo2.255_89169266" displayName="Submódulo2.255_89169266" ref="A46:D55" totalsRowCount="1">
  <autoFilter ref="A46:D54"/>
  <tableColumns count="4">
    <tableColumn id="1" name="2.2" totalsRowLabel="Total" dataDxfId="256"/>
    <tableColumn id="2" name="GPS, FGTS e outras contribuições" dataDxfId="257"/>
    <tableColumn id="3" name="Percentual" totalsRowFunction="custom">
      <totalsRowFormula>SUM(C47:C54)</totalsRowFormula>
       dataDxfId="258"
    </tableColumn>
    <tableColumn id="4" name="Valor " totalsRowFunction="custom">
      <totalsRowFormula>TRUNC((SUM(D47:D54)),2)</totalsRowFormula>
       dataDxfId="259"
    </tableColumn>
  </tableColumns>
  <tableStyleInfo showFirstColumn="0" showLastColumn="0" showRowStripes="1" showColumnStripes="0"/>
</table>
</file>

<file path=xl/tables/table66.xml><?xml version="1.0" encoding="utf-8"?>
<table xmlns="http://schemas.openxmlformats.org/spreadsheetml/2006/main" id="66" name="Módulo153_78289667" displayName="Módulo153_78289667" ref="A24:D31" totalsRowCount="1">
  <autoFilter ref="A24:D30"/>
  <tableColumns count="4">
    <tableColumn id="1" name="1" totalsRowLabel="Total" dataDxfId="260"/>
    <tableColumn id="2" name="Composição da Remuneração" dataDxfId="261"/>
    <tableColumn id="3" name="Comentário" dataDxfId="262"/>
    <tableColumn id="4" name="Valor" totalsRowFunction="custom">
      <totalsRowFormula>TRUNC(SUM(D25:D30),2)</totalsRowFormula>
       dataDxfId="263"
    </tableColumn>
  </tableColumns>
  <tableStyleInfo showFirstColumn="0" showLastColumn="0" showRowStripes="1" showColumnStripes="0"/>
</table>
</file>

<file path=xl/tables/table67.xml><?xml version="1.0" encoding="utf-8"?>
<table xmlns="http://schemas.openxmlformats.org/spreadsheetml/2006/main" id="67" name="Submódulo2.356_793110168" displayName="Submódulo2.356_793110168" ref="A58:D65" totalsRowCount="1">
  <autoFilter ref="A58:D64"/>
  <tableColumns count="4">
    <tableColumn id="1" name="2.3" totalsRowLabel="Total" dataDxfId="264"/>
    <tableColumn id="2" name="Benefícios Mensais e Diários" dataDxfId="265"/>
    <tableColumn id="3" name="Comentário" dataDxfId="266"/>
    <tableColumn id="4" name="Valor" totalsRowFunction="custom">
      <totalsRowFormula>TRUNC((SUM(D59:D64)),2)</totalsRowFormula>
       dataDxfId="267"
    </tableColumn>
  </tableColumns>
  <tableStyleInfo showFirstColumn="0" showLastColumn="0" showRowStripes="1" showColumnStripes="0"/>
</table>
</file>

<file path=xl/tables/table68.xml><?xml version="1.0" encoding="utf-8"?>
<table xmlns="http://schemas.openxmlformats.org/spreadsheetml/2006/main" id="68" name="Submódulo4.159_80189869" displayName="Submódulo4.159_80189869" ref="A91:D98" totalsRowCount="1">
  <autoFilter ref="A91:D97"/>
  <tableColumns count="4">
    <tableColumn id="1" name="4.1" totalsRowLabel="Total" dataDxfId="268"/>
    <tableColumn id="2" name="Substituto nas Ausências Legais" dataDxfId="269"/>
    <tableColumn id="3" name="Percentual" totalsRowFunction="custom">
      <totalsRowFormula>SUM(C92:C97)</totalsRowFormula>
       dataDxfId="270"
    </tableColumn>
    <tableColumn id="4" name="Valor" totalsRowFunction="custom">
      <totalsRowFormula>TRUNC((SUM(D92:D97)),2)</totalsRowFormula>
       dataDxfId="271"
    </tableColumn>
  </tableColumns>
  <tableStyleInfo showFirstColumn="0" showLastColumn="0" showRowStripes="1" showColumnStripes="0"/>
</table>
</file>

<file path=xl/tables/table69.xml><?xml version="1.0" encoding="utf-8"?>
<table xmlns="http://schemas.openxmlformats.org/spreadsheetml/2006/main" id="69" name="Submódulo2.154_87129770" displayName="Submódulo2.154_87129770" ref="A36:D39" totalsRowCount="1">
  <autoFilter ref="A36:D38"/>
  <tableColumns count="4">
    <tableColumn id="1" name="2.1" totalsRowLabel="Total" dataDxfId="272"/>
    <tableColumn id="2" name="13º (décimo terceiro) Salário, Férias e Adicional de Férias" dataDxfId="273"/>
    <tableColumn id="3" name="Percentual" dataDxfId="274"/>
    <tableColumn id="4" name="Valor" totalsRowFunction="custom">
      <totalsRowFormula>TRUNC((SUM(D37:D38)),2)</totalsRowFormula>
       dataDxfId="275"
    </tableColumn>
  </tableColumns>
  <tableStyleInfo showFirstColumn="0" showLastColumn="0" showRowStripes="1" showColumnStripes="0"/>
</table>
</file>

<file path=xl/tables/table7.xml><?xml version="1.0" encoding="utf-8"?>
<table xmlns="http://schemas.openxmlformats.org/spreadsheetml/2006/main" id="33" name="Table839" displayName="Table839" ref="A44:D45" totalsRowShown="0">
  <autoFilter ref="A44:D45"/>
  <tableColumns count="4">
    <tableColumn id="1" name="Item" dataDxfId="24"/>
    <tableColumn id="2" name="Rubrica" dataDxfId="25"/>
    <tableColumn id="3" name="Base de Cálculo" dataDxfId="26"/>
    <tableColumn id="4" name="Memória de Cálculo" dataDxfId="27"/>
  </tableColumns>
  <tableStyleInfo showFirstColumn="0" showLastColumn="0" showRowStripes="1" showColumnStripes="0"/>
</table>
</file>

<file path=xl/tables/table70.xml><?xml version="1.0" encoding="utf-8"?>
<table xmlns="http://schemas.openxmlformats.org/spreadsheetml/2006/main" id="70" name="Módulo562_84249171" displayName="Módulo562_84249171" ref="A112:D118" totalsRowCount="1">
  <autoFilter ref="A112:D117"/>
  <tableColumns count="4">
    <tableColumn id="1" name="5" totalsRowLabel="Total" dataDxfId="276"/>
    <tableColumn id="2" name="Insumos Diversos" dataDxfId="277"/>
    <tableColumn id="3" name="Comentário" dataDxfId="278"/>
    <tableColumn id="4" name="Valor" totalsRowFunction="custom">
      <totalsRowFormula>TRUNC(SUM((D113:D117)),2)</totalsRowFormula>
       dataDxfId="279"
    </tableColumn>
  </tableColumns>
  <tableStyleInfo showFirstColumn="0" showLastColumn="0" showRowStripes="1" showColumnStripes="0"/>
</table>
</file>

<file path=xl/tables/table71.xml><?xml version="1.0" encoding="utf-8"?>
<table xmlns="http://schemas.openxmlformats.org/spreadsheetml/2006/main" id="71" name="ResumoMódulo257_86309972" displayName="ResumoMódulo257_86309972" ref="A68:D72" totalsRowCount="1">
  <autoFilter ref="A68:D71"/>
  <tableColumns count="4">
    <tableColumn id="1" name="2" totalsRowLabel="Total" dataDxfId="280"/>
    <tableColumn id="2" name="Encargos e Benefícios Anuais, Mensais e Diários" dataDxfId="281"/>
    <tableColumn id="3" name="Comentário" dataDxfId="282"/>
    <tableColumn id="4" name="Valor" totalsRowFunction="custom">
      <totalsRowFormula>TRUNC(SUM(D69:D71),2)</totalsRowFormula>
       dataDxfId="283"
    </tableColumn>
  </tableColumns>
  <tableStyleInfo showFirstColumn="0" showLastColumn="0" showRowStripes="1" showColumnStripes="0"/>
</table>
</file>

<file path=xl/tables/table72.xml><?xml version="1.0" encoding="utf-8"?>
<table xmlns="http://schemas.openxmlformats.org/spreadsheetml/2006/main" id="72" name="Table452_822210073" displayName="Table452_822210073" ref="A16:D21" totalsRowShown="0">
  <tableColumns count="4">
    <tableColumn id="1" name="Item" dataDxfId="284"/>
    <tableColumn id="2" name="Descrição" dataDxfId="285"/>
    <tableColumn id="3" name="Comentário" dataDxfId="286"/>
    <tableColumn id="4" name="Valor" dataDxfId="287"/>
  </tableColumns>
  <tableStyleInfo showFirstColumn="0" showLastColumn="0" showRowStripes="1" showColumnStripes="0"/>
</table>
</file>

<file path=xl/tables/table73.xml><?xml version="1.0" encoding="utf-8"?>
<table xmlns="http://schemas.openxmlformats.org/spreadsheetml/2006/main" id="73" name="ResumoPosto64_90109474" displayName="ResumoPosto64_90109474" ref="A139:D147" totalsRowShown="0">
  <autoFilter ref="A139:D147"/>
  <tableColumns count="4">
    <tableColumn id="1" name="Item" dataDxfId="288"/>
    <tableColumn id="2" name="Mão de obra vinculada à execução contratual" dataDxfId="289"/>
    <tableColumn id="3" name="-" dataDxfId="290"/>
    <tableColumn id="4" name="Valor" dataDxfId="291"/>
  </tableColumns>
  <tableStyleInfo showFirstColumn="0" showLastColumn="0" showRowStripes="1" showColumnStripes="0"/>
</table>
</file>

<file path=xl/tables/table74.xml><?xml version="1.0" encoding="utf-8"?>
<table xmlns="http://schemas.openxmlformats.org/spreadsheetml/2006/main" id="74" name="Módulo358_832610375" displayName="Módulo358_832610375" ref="A75:D82" totalsRowCount="1">
  <autoFilter ref="A75:D81"/>
  <tableColumns count="4">
    <tableColumn id="1" name="3" totalsRowLabel="Total" dataDxfId="292"/>
    <tableColumn id="2" name="Provisão para Rescisão" dataDxfId="293"/>
    <tableColumn id="3" name="Percentual" totalsRowFunction="custom">
      <totalsRowFormula>SUM(C76:C81)</totalsRowFormula>
       dataDxfId="294"
    </tableColumn>
    <tableColumn id="4" name="Valor" totalsRowFunction="custom">
      <totalsRowFormula>TRUNC((SUM(D76:D81)),2)</totalsRowFormula>
       dataDxfId="295"
    </tableColumn>
  </tableColumns>
  <tableStyleInfo showFirstColumn="0" showLastColumn="0" showRowStripes="1" showColumnStripes="0"/>
</table>
</file>

<file path=xl/tables/table75.xml><?xml version="1.0" encoding="utf-8"?>
<table xmlns="http://schemas.openxmlformats.org/spreadsheetml/2006/main" id="75" name="ResumoMódulo461_88149576" displayName="ResumoMódulo461_88149576" ref="A106:D109" totalsRowCount="1">
  <autoFilter ref="A106:D108"/>
  <tableColumns count="4">
    <tableColumn id="1" name="4" totalsRowLabel="Total" dataDxfId="296"/>
    <tableColumn id="2" name="Custo de Reposição do Profissional Ausente" dataDxfId="297"/>
    <tableColumn id="3" name="Comentário" totalsRowLabel="*Nota: Se o titular USUFRUIR do descanso intrajornada, o total é o somatório dos subitens 4.1 e 4.2" dataDxfId="298"/>
    <tableColumn id="4" name="Valor" totalsRowFunction="custom">
      <totalsRowFormula>TRUNC((SUM(D107:D108)),2)</totalsRowFormula>
       dataDxfId="299"
    </tableColumn>
  </tableColumns>
  <tableStyleInfo showFirstColumn="0" showLastColumn="0" showRowStripes="1" showColumnStripes="0"/>
</table>
</file>

<file path=xl/tables/table76.xml><?xml version="1.0" encoding="utf-8"?>
<table xmlns="http://schemas.openxmlformats.org/spreadsheetml/2006/main" id="76" name="Módulo663_85329377" displayName="Módulo663_85329377" ref="A128:D135" totalsRowCount="1">
  <tableColumns count="4">
    <tableColumn id="1" name="6" totalsRowLabel="Total" dataDxfId="300"/>
    <tableColumn id="2" name="Custos Indiretos, Tributos e Lucro" dataDxfId="301"/>
    <tableColumn id="3" name="Percentual" dataDxfId="302"/>
    <tableColumn id="4" name="Valor" totalsRowFunction="custom">
      <totalsRowFormula>TRUNC(SUM(D129:D131),2)</totalsRowFormula>
       dataDxfId="303"
    </tableColumn>
  </tableColumns>
  <tableStyleInfo showFirstColumn="0" showLastColumn="0" showRowStripes="1" showColumnStripes="0"/>
</table>
</file>

<file path=xl/tables/table77.xml><?xml version="1.0" encoding="utf-8"?>
<table xmlns="http://schemas.openxmlformats.org/spreadsheetml/2006/main" id="51" name="ResumoMódulo257_863099" displayName="ResumoMódulo257_863099" ref="A68:D72" totalsRowCount="1">
  <autoFilter ref="A68:D71"/>
  <tableColumns count="4">
    <tableColumn id="1" name="2" totalsRowLabel="Total" dataDxfId="304"/>
    <tableColumn id="2" name="Encargos e Benefícios Anuais, Mensais e Diários" dataDxfId="305"/>
    <tableColumn id="3" name="Comentário" dataDxfId="306"/>
    <tableColumn id="4" name="Valor" totalsRowFunction="custom">
      <totalsRowFormula>TRUNC(SUM(D69:D71),2)</totalsRowFormula>
       dataDxfId="307"
    </tableColumn>
  </tableColumns>
  <tableStyleInfo showFirstColumn="0" showLastColumn="0" showRowStripes="1" showColumnStripes="0"/>
</table>
</file>

<file path=xl/tables/table78.xml><?xml version="1.0" encoding="utf-8"?>
<table xmlns="http://schemas.openxmlformats.org/spreadsheetml/2006/main" id="52" name="Submódulo2.356_7931101" displayName="Submódulo2.356_7931101" ref="A58:D65" totalsRowCount="1">
  <autoFilter ref="A58:D64"/>
  <tableColumns count="4">
    <tableColumn id="1" name="2.3" totalsRowLabel="Total" dataDxfId="308"/>
    <tableColumn id="2" name="Benefícios Mensais e Diários" dataDxfId="309"/>
    <tableColumn id="3" name="Comentário" dataDxfId="310"/>
    <tableColumn id="4" name="Valor" totalsRowFunction="custom">
      <totalsRowFormula>TRUNC((SUM(D59:D64)),2)</totalsRowFormula>
       dataDxfId="311"
    </tableColumn>
  </tableColumns>
  <tableStyleInfo showFirstColumn="0" showLastColumn="0" showRowStripes="1" showColumnStripes="0"/>
</table>
</file>

<file path=xl/tables/table79.xml><?xml version="1.0" encoding="utf-8"?>
<table xmlns="http://schemas.openxmlformats.org/spreadsheetml/2006/main" id="53" name="ResumoPosto64_901094" displayName="ResumoPosto64_901094" ref="A139:D147" totalsRowShown="0">
  <autoFilter ref="A139:D147"/>
  <tableColumns count="4">
    <tableColumn id="1" name="Item" dataDxfId="312"/>
    <tableColumn id="2" name="Mão de obra vinculada à execução contratual" dataDxfId="313"/>
    <tableColumn id="3" name="-" dataDxfId="314"/>
    <tableColumn id="4" name="Valor" dataDxfId="315"/>
  </tableColumns>
  <tableStyleInfo showFirstColumn="0" showLastColumn="0" showRowStripes="1" showColumnStripes="0"/>
</table>
</file>

<file path=xl/tables/table8.xml><?xml version="1.0" encoding="utf-8"?>
<table xmlns="http://schemas.openxmlformats.org/spreadsheetml/2006/main" id="34" name="Table842" displayName="Table842" ref="A56:D58" totalsRowShown="0">
  <autoFilter ref="A56:D58"/>
  <tableColumns count="4">
    <tableColumn id="1" name="Item" dataDxfId="28"/>
    <tableColumn id="2" name="Rubrica" dataDxfId="29"/>
    <tableColumn id="3" name="Base de Cálculo" dataDxfId="30"/>
    <tableColumn id="4" name="Memória de Cálculo" dataDxfId="31"/>
  </tableColumns>
  <tableStyleInfo showFirstColumn="0" showLastColumn="0" showRowStripes="1" showColumnStripes="0"/>
</table>
</file>

<file path=xl/tables/table80.xml><?xml version="1.0" encoding="utf-8"?>
<table xmlns="http://schemas.openxmlformats.org/spreadsheetml/2006/main" id="54" name="Table452_8222100" displayName="Table452_8222100" ref="A16:D21" totalsRowShown="0">
  <tableColumns count="4">
    <tableColumn id="1" name="Item" dataDxfId="316"/>
    <tableColumn id="2" name="Descrição" dataDxfId="317"/>
    <tableColumn id="3" name="Comentário" dataDxfId="318"/>
    <tableColumn id="4" name="Valor" dataDxfId="319"/>
  </tableColumns>
  <tableStyleInfo showFirstColumn="0" showLastColumn="0" showRowStripes="1" showColumnStripes="0"/>
</table>
</file>

<file path=xl/tables/table81.xml><?xml version="1.0" encoding="utf-8"?>
<table xmlns="http://schemas.openxmlformats.org/spreadsheetml/2006/main" id="55" name="Módulo562_842491" displayName="Módulo562_842491" ref="A112:D118" totalsRowCount="1">
  <autoFilter ref="A112:D117"/>
  <tableColumns count="4">
    <tableColumn id="1" name="5" totalsRowLabel="Total" dataDxfId="320"/>
    <tableColumn id="2" name="Insumos Diversos" dataDxfId="321"/>
    <tableColumn id="3" name="Comentário" dataDxfId="322"/>
    <tableColumn id="4" name="Valor" totalsRowFunction="custom">
      <totalsRowFormula>TRUNC(SUM((D113:D117)),2)</totalsRowFormula>
       dataDxfId="323"
    </tableColumn>
  </tableColumns>
  <tableStyleInfo showFirstColumn="0" showLastColumn="0" showRowStripes="1" showColumnStripes="0"/>
</table>
</file>

<file path=xl/tables/table82.xml><?xml version="1.0" encoding="utf-8"?>
<table xmlns="http://schemas.openxmlformats.org/spreadsheetml/2006/main" id="56" name="Submódulo4.159_801898" displayName="Submódulo4.159_801898" ref="A91:D98" totalsRowCount="1">
  <autoFilter ref="A91:D97"/>
  <tableColumns count="4">
    <tableColumn id="1" name="4.1" totalsRowLabel="Total" dataDxfId="324"/>
    <tableColumn id="2" name="Substituto nas Ausências Legais" dataDxfId="325"/>
    <tableColumn id="3" name="Percentual" totalsRowFunction="custom">
      <totalsRowFormula>SUM(C92:C97)</totalsRowFormula>
       dataDxfId="326"
    </tableColumn>
    <tableColumn id="4" name="Valor" totalsRowFunction="custom">
      <totalsRowFormula>TRUNC((SUM(D92:D97)),2)</totalsRowFormula>
       dataDxfId="327"
    </tableColumn>
  </tableColumns>
  <tableStyleInfo showFirstColumn="0" showLastColumn="0" showRowStripes="1" showColumnStripes="0"/>
</table>
</file>

<file path=xl/tables/table83.xml><?xml version="1.0" encoding="utf-8"?>
<table xmlns="http://schemas.openxmlformats.org/spreadsheetml/2006/main" id="57" name="Submódulo4.260_8120102" displayName="Submódulo4.260_8120102" ref="A101:D103" totalsRowCount="1">
  <autoFilter ref="A101:D102"/>
  <tableColumns count="4">
    <tableColumn id="1" name="4.2" totalsRowLabel="Total" dataDxfId="328"/>
    <tableColumn id="2" name="Substituto na Intrajornada " dataDxfId="329"/>
    <tableColumn id="3" name="Comentário" dataDxfId="330"/>
    <tableColumn id="4" name="Valor" totalsRowFunction="custom">
      <totalsRowFormula>D102</totalsRowFormula>
       dataDxfId="331"
    </tableColumn>
  </tableColumns>
  <tableStyleInfo showFirstColumn="0" showLastColumn="0" showRowStripes="1" showColumnStripes="0"/>
</table>
</file>

<file path=xl/tables/table84.xml><?xml version="1.0" encoding="utf-8"?>
<table xmlns="http://schemas.openxmlformats.org/spreadsheetml/2006/main" id="58" name="ResumoMódulo461_881495" displayName="ResumoMódulo461_881495" ref="A106:D109" totalsRowCount="1">
  <autoFilter ref="A106:D108"/>
  <tableColumns count="4">
    <tableColumn id="1" name="4" totalsRowLabel="Total" dataDxfId="332"/>
    <tableColumn id="2" name="Custo de Reposição do Profissional Ausente" dataDxfId="333"/>
    <tableColumn id="3" name="Comentário" totalsRowLabel="*Nota: Se o titular USUFRUIR do descanso intrajornada, o total é o somatório dos subitens 4.1 e 4.2" dataDxfId="334"/>
    <tableColumn id="4" name="Valor" totalsRowFunction="custom">
      <totalsRowFormula>TRUNC((SUM(D107:D108)),2)</totalsRowFormula>
       dataDxfId="335"
    </tableColumn>
  </tableColumns>
  <tableStyleInfo showFirstColumn="0" showLastColumn="0" showRowStripes="1" showColumnStripes="0"/>
</table>
</file>

<file path=xl/tables/table85.xml><?xml version="1.0" encoding="utf-8"?>
<table xmlns="http://schemas.openxmlformats.org/spreadsheetml/2006/main" id="59" name="Módulo358_8326103" displayName="Módulo358_8326103" ref="A75:D82" totalsRowCount="1">
  <autoFilter ref="A75:D81"/>
  <tableColumns count="4">
    <tableColumn id="1" name="3" totalsRowLabel="Total" dataDxfId="336"/>
    <tableColumn id="2" name="Provisão para Rescisão" dataDxfId="337"/>
    <tableColumn id="3" name="Percentual" totalsRowFunction="custom">
      <totalsRowFormula>SUM(C76:C81)</totalsRowFormula>
       dataDxfId="338"
    </tableColumn>
    <tableColumn id="4" name="Valor" totalsRowFunction="custom">
      <totalsRowFormula>TRUNC((SUM(D76:D81)),2)</totalsRowFormula>
       dataDxfId="339"
    </tableColumn>
  </tableColumns>
  <tableStyleInfo showFirstColumn="0" showLastColumn="0" showRowStripes="1" showColumnStripes="0"/>
</table>
</file>

<file path=xl/tables/table86.xml><?xml version="1.0" encoding="utf-8"?>
<table xmlns="http://schemas.openxmlformats.org/spreadsheetml/2006/main" id="60" name="Módulo663_853293" displayName="Módulo663_853293" ref="A128:D135" totalsRowCount="1">
  <tableColumns count="4">
    <tableColumn id="1" name="6" totalsRowLabel="Total" dataDxfId="340"/>
    <tableColumn id="2" name="Custos Indiretos, Tributos e Lucro" dataDxfId="341"/>
    <tableColumn id="3" name="Percentual" dataDxfId="342"/>
    <tableColumn id="4" name="Valor" totalsRowFunction="custom">
      <totalsRowFormula>TRUNC(SUM(D129:D131),2)</totalsRowFormula>
       dataDxfId="343"
    </tableColumn>
  </tableColumns>
  <tableStyleInfo showFirstColumn="0" showLastColumn="0" showRowStripes="1" showColumnStripes="0"/>
</table>
</file>

<file path=xl/tables/table87.xml><?xml version="1.0" encoding="utf-8"?>
<table xmlns="http://schemas.openxmlformats.org/spreadsheetml/2006/main" id="61" name="Módulo153_782896" displayName="Módulo153_782896" ref="A24:D31" totalsRowCount="1">
  <autoFilter ref="A24:D30"/>
  <tableColumns count="4">
    <tableColumn id="1" name="1" totalsRowLabel="Total" dataDxfId="344"/>
    <tableColumn id="2" name="Composição da Remuneração" dataDxfId="345"/>
    <tableColumn id="3" name="Comentário" dataDxfId="346"/>
    <tableColumn id="4" name="Valor" totalsRowFunction="custom">
      <totalsRowFormula>TRUNC(SUM(D25:D30),2)</totalsRowFormula>
       dataDxfId="347"
    </tableColumn>
  </tableColumns>
  <tableStyleInfo showFirstColumn="0" showLastColumn="0" showRowStripes="1" showColumnStripes="0"/>
</table>
</file>

<file path=xl/tables/table88.xml><?xml version="1.0" encoding="utf-8"?>
<table xmlns="http://schemas.openxmlformats.org/spreadsheetml/2006/main" id="62" name="Submódulo2.255_891692" displayName="Submódulo2.255_891692" ref="A46:D55" totalsRowCount="1">
  <autoFilter ref="A46:D54"/>
  <tableColumns count="4">
    <tableColumn id="1" name="2.2" totalsRowLabel="Total" dataDxfId="348"/>
    <tableColumn id="2" name="GPS, FGTS e outras contribuições" dataDxfId="349"/>
    <tableColumn id="3" name="Percentual" totalsRowFunction="custom">
      <totalsRowFormula>SUM(C47:C54)</totalsRowFormula>
       dataDxfId="350"
    </tableColumn>
    <tableColumn id="4" name="Valor " totalsRowFunction="custom">
      <totalsRowFormula>TRUNC((SUM(D47:D54)),2)</totalsRowFormula>
       dataDxfId="351"
    </tableColumn>
  </tableColumns>
  <tableStyleInfo showFirstColumn="0" showLastColumn="0" showRowStripes="1" showColumnStripes="0"/>
</table>
</file>

<file path=xl/tables/table89.xml><?xml version="1.0" encoding="utf-8"?>
<table xmlns="http://schemas.openxmlformats.org/spreadsheetml/2006/main" id="63" name="Submódulo2.154_871297" displayName="Submódulo2.154_871297" ref="A36:D39" totalsRowCount="1">
  <autoFilter ref="A36:D38"/>
  <tableColumns count="4">
    <tableColumn id="1" name="2.1" totalsRowLabel="Total" dataDxfId="352"/>
    <tableColumn id="2" name="13º (décimo terceiro) Salário, Férias e Adicional de Férias" dataDxfId="353"/>
    <tableColumn id="3" name="Percentual" dataDxfId="354"/>
    <tableColumn id="4" name="Valor" totalsRowFunction="custom">
      <totalsRowFormula>TRUNC((SUM(D37:D38)),2)</totalsRowFormula>
       dataDxfId="355"
    </tableColumn>
  </tableColumns>
  <tableStyleInfo showFirstColumn="0" showLastColumn="0" showRowStripes="1" showColumnStripes="0"/>
</table>
</file>

<file path=xl/tables/table9.xml><?xml version="1.0" encoding="utf-8"?>
<table xmlns="http://schemas.openxmlformats.org/spreadsheetml/2006/main" id="35" name="Table84237" displayName="Table84237" ref="A78:D84" totalsRowShown="0">
  <autoFilter ref="A78:D84"/>
  <tableColumns count="4">
    <tableColumn id="1" name="Item" dataDxfId="32"/>
    <tableColumn id="2" name="Rubrica" dataDxfId="33"/>
    <tableColumn id="3" name="Base de Cálculo" dataDxfId="34"/>
    <tableColumn id="4" name="Memória de Cálculo" dataDxfId="35"/>
  </tableColumns>
  <tableStyleInfo showFirstColumn="0" showLastColumn="0" showRowStripes="1" showColumnStripes="0"/>
</table>
</file>

<file path=xl/tables/table90.xml><?xml version="1.0" encoding="utf-8"?>
<table xmlns="http://schemas.openxmlformats.org/spreadsheetml/2006/main" id="40" name="Submódulo2.154_87129741" displayName="Submódulo2.154_87129741" ref="A36:D39" totalsRowCount="1">
  <autoFilter ref="A36:D38"/>
  <tableColumns count="4">
    <tableColumn id="1" name="2.1" totalsRowLabel="Total" dataDxfId="356"/>
    <tableColumn id="2" name="13º (décimo terceiro) Salário, Férias e Adicional de Férias" dataDxfId="357"/>
    <tableColumn id="3" name="Percentual" dataDxfId="358"/>
    <tableColumn id="4" name="Valor" totalsRowFunction="custom">
      <totalsRowFormula>TRUNC((SUM(D37:D38)),2)</totalsRowFormula>
       dataDxfId="359"
    </tableColumn>
  </tableColumns>
  <tableStyleInfo showFirstColumn="0" showLastColumn="0" showRowStripes="1" showColumnStripes="0"/>
</table>
</file>

<file path=xl/tables/table91.xml><?xml version="1.0" encoding="utf-8"?>
<table xmlns="http://schemas.openxmlformats.org/spreadsheetml/2006/main" id="41" name="Submódulo2.255_89169242" displayName="Submódulo2.255_89169242" ref="A46:D55" totalsRowCount="1">
  <autoFilter ref="A46:D54"/>
  <tableColumns count="4">
    <tableColumn id="1" name="2.2" totalsRowLabel="Total" dataDxfId="360"/>
    <tableColumn id="2" name="GPS, FGTS e outras contribuições" dataDxfId="361"/>
    <tableColumn id="3" name="Percentual" totalsRowFunction="custom">
      <totalsRowFormula>SUM(C47:C54)</totalsRowFormula>
       dataDxfId="362"
    </tableColumn>
    <tableColumn id="4" name="Valor " totalsRowFunction="custom">
      <totalsRowFormula>TRUNC((SUM(D47:D54)),2)</totalsRowFormula>
       dataDxfId="363"
    </tableColumn>
  </tableColumns>
  <tableStyleInfo showFirstColumn="0" showLastColumn="0" showRowStripes="1" showColumnStripes="0"/>
</table>
</file>

<file path=xl/tables/table92.xml><?xml version="1.0" encoding="utf-8"?>
<table xmlns="http://schemas.openxmlformats.org/spreadsheetml/2006/main" id="42" name="Submódulo2.356_793110143" displayName="Submódulo2.356_793110143" ref="A58:D65" totalsRowCount="1">
  <autoFilter ref="A58:D64"/>
  <tableColumns count="4">
    <tableColumn id="1" name="2.3" totalsRowLabel="Total" dataDxfId="364"/>
    <tableColumn id="2" name="Benefícios Mensais e Diários" dataDxfId="365"/>
    <tableColumn id="3" name="Comentário" dataDxfId="366"/>
    <tableColumn id="4" name="Valor" totalsRowFunction="custom">
      <totalsRowFormula>TRUNC((SUM(D59:D64)),2)</totalsRowFormula>
       dataDxfId="367"
    </tableColumn>
  </tableColumns>
  <tableStyleInfo showFirstColumn="0" showLastColumn="0" showRowStripes="1" showColumnStripes="0"/>
</table>
</file>

<file path=xl/tables/table93.xml><?xml version="1.0" encoding="utf-8"?>
<table xmlns="http://schemas.openxmlformats.org/spreadsheetml/2006/main" id="43" name="Submódulo4.260_812010244" displayName="Submódulo4.260_812010244" ref="A101:D103" totalsRowCount="1">
  <autoFilter ref="A101:D102"/>
  <tableColumns count="4">
    <tableColumn id="1" name="4.2" totalsRowLabel="Total" dataDxfId="368"/>
    <tableColumn id="2" name="Substituto na Intrajornada " dataDxfId="369"/>
    <tableColumn id="3" name="Comentário" dataDxfId="370"/>
    <tableColumn id="4" name="Valor" totalsRowFunction="custom">
      <totalsRowFormula>D102</totalsRowFormula>
       dataDxfId="371"
    </tableColumn>
  </tableColumns>
  <tableStyleInfo showFirstColumn="0" showLastColumn="0" showRowStripes="1" showColumnStripes="0"/>
</table>
</file>

<file path=xl/tables/table94.xml><?xml version="1.0" encoding="utf-8"?>
<table xmlns="http://schemas.openxmlformats.org/spreadsheetml/2006/main" id="44" name="ResumoMódulo257_86309945" displayName="ResumoMódulo257_86309945" ref="A68:D72" totalsRowCount="1">
  <autoFilter ref="A68:D71"/>
  <tableColumns count="4">
    <tableColumn id="1" name="2" totalsRowLabel="Total" dataDxfId="372"/>
    <tableColumn id="2" name="Encargos e Benefícios Anuais, Mensais e Diários" dataDxfId="373"/>
    <tableColumn id="3" name="Comentário" dataDxfId="374"/>
    <tableColumn id="4" name="Valor" totalsRowFunction="custom">
      <totalsRowFormula>TRUNC(SUM(D69:D71),2)</totalsRowFormula>
       dataDxfId="375"
    </tableColumn>
  </tableColumns>
  <tableStyleInfo showFirstColumn="0" showLastColumn="0" showRowStripes="1" showColumnStripes="0"/>
</table>
</file>

<file path=xl/tables/table95.xml><?xml version="1.0" encoding="utf-8"?>
<table xmlns="http://schemas.openxmlformats.org/spreadsheetml/2006/main" id="45" name="Módulo153_78289646" displayName="Módulo153_78289646" ref="A24:D31" totalsRowCount="1">
  <autoFilter ref="A24:D30"/>
  <tableColumns count="4">
    <tableColumn id="1" name="1" totalsRowLabel="Total" dataDxfId="376"/>
    <tableColumn id="2" name="Composição da Remuneração" dataDxfId="377"/>
    <tableColumn id="3" name="Comentário" dataDxfId="378"/>
    <tableColumn id="4" name="Valor" totalsRowFunction="custom">
      <totalsRowFormula>TRUNC(SUM(D25:D30),2)</totalsRowFormula>
       dataDxfId="379"
    </tableColumn>
  </tableColumns>
  <tableStyleInfo showFirstColumn="0" showLastColumn="0" showRowStripes="1" showColumnStripes="0"/>
</table>
</file>

<file path=xl/tables/table96.xml><?xml version="1.0" encoding="utf-8"?>
<table xmlns="http://schemas.openxmlformats.org/spreadsheetml/2006/main" id="46" name="ResumoPosto64_90109447" displayName="ResumoPosto64_90109447" ref="A139:D147" totalsRowShown="0">
  <autoFilter ref="A139:D147"/>
  <tableColumns count="4">
    <tableColumn id="1" name="Item" dataDxfId="380"/>
    <tableColumn id="2" name="Mão de obra vinculada à execução contratual" dataDxfId="381"/>
    <tableColumn id="3" name="-" dataDxfId="382"/>
    <tableColumn id="4" name="Valor" dataDxfId="383"/>
  </tableColumns>
  <tableStyleInfo showFirstColumn="0" showLastColumn="0" showRowStripes="1" showColumnStripes="0"/>
</table>
</file>

<file path=xl/tables/table97.xml><?xml version="1.0" encoding="utf-8"?>
<table xmlns="http://schemas.openxmlformats.org/spreadsheetml/2006/main" id="47" name="Módulo562_84249148" displayName="Módulo562_84249148" ref="A112:D118" totalsRowCount="1">
  <autoFilter ref="A112:D117"/>
  <tableColumns count="4">
    <tableColumn id="1" name="5" totalsRowLabel="Total" dataDxfId="384"/>
    <tableColumn id="2" name="Insumos Diversos" dataDxfId="385"/>
    <tableColumn id="3" name="Comentário" dataDxfId="386"/>
    <tableColumn id="4" name="Valor" totalsRowFunction="custom">
      <totalsRowFormula>TRUNC(SUM((D113:D117)),2)</totalsRowFormula>
       dataDxfId="387"
    </tableColumn>
  </tableColumns>
  <tableStyleInfo showFirstColumn="0" showLastColumn="0" showRowStripes="1" showColumnStripes="0"/>
</table>
</file>

<file path=xl/tables/table98.xml><?xml version="1.0" encoding="utf-8"?>
<table xmlns="http://schemas.openxmlformats.org/spreadsheetml/2006/main" id="48" name="ResumoMódulo461_88149549" displayName="ResumoMódulo461_88149549" ref="A106:D109" totalsRowCount="1">
  <autoFilter ref="A106:D108"/>
  <tableColumns count="4">
    <tableColumn id="1" name="4" totalsRowLabel="Total" dataDxfId="388"/>
    <tableColumn id="2" name="Custo de Reposição do Profissional Ausente" dataDxfId="389"/>
    <tableColumn id="3" name="Comentário" totalsRowLabel="*Nota: Se o titular USUFRUIR do descanso intrajornada, o total é o somatório dos subitens 4.1 e 4.2" dataDxfId="390"/>
    <tableColumn id="4" name="Valor" totalsRowFunction="custom">
      <totalsRowFormula>TRUNC((SUM(D107:D108)),2)</totalsRowFormula>
       dataDxfId="391"
    </tableColumn>
  </tableColumns>
  <tableStyleInfo showFirstColumn="0" showLastColumn="0" showRowStripes="1" showColumnStripes="0"/>
</table>
</file>

<file path=xl/tables/table99.xml><?xml version="1.0" encoding="utf-8"?>
<table xmlns="http://schemas.openxmlformats.org/spreadsheetml/2006/main" id="49" name="Submódulo4.159_80189850" displayName="Submódulo4.159_80189850" ref="A91:D98" totalsRowCount="1">
  <autoFilter ref="A91:D97"/>
  <tableColumns count="4">
    <tableColumn id="1" name="4.1" totalsRowLabel="Total" dataDxfId="392"/>
    <tableColumn id="2" name="Substituto nas Ausências Legais" dataDxfId="393"/>
    <tableColumn id="3" name="Percentual" totalsRowFunction="custom">
      <totalsRowFormula>SUM(C92:C97)</totalsRowFormula>
       dataDxfId="394"
    </tableColumn>
    <tableColumn id="4" name="Valor" totalsRowFunction="custom">
      <totalsRowFormula>TRUNC((SUM(D92:D97)),2)</totalsRowFormula>
       dataDxfId="395"
    </tableColumn>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0.xml.rels><?xml version="1.0" encoding="UTF-8" standalone="yes"?>
<Relationships xmlns="http://schemas.openxmlformats.org/package/2006/relationships"><Relationship Id="rId9" Type="http://schemas.openxmlformats.org/officeDocument/2006/relationships/table" Target="../tables/table111.xml"/><Relationship Id="rId8" Type="http://schemas.openxmlformats.org/officeDocument/2006/relationships/table" Target="../tables/table110.xml"/><Relationship Id="rId7" Type="http://schemas.openxmlformats.org/officeDocument/2006/relationships/table" Target="../tables/table109.xml"/><Relationship Id="rId6" Type="http://schemas.openxmlformats.org/officeDocument/2006/relationships/table" Target="../tables/table108.xml"/><Relationship Id="rId5" Type="http://schemas.openxmlformats.org/officeDocument/2006/relationships/table" Target="../tables/table107.xml"/><Relationship Id="rId4" Type="http://schemas.openxmlformats.org/officeDocument/2006/relationships/table" Target="../tables/table106.xml"/><Relationship Id="rId3" Type="http://schemas.openxmlformats.org/officeDocument/2006/relationships/table" Target="../tables/table105.xml"/><Relationship Id="rId2" Type="http://schemas.openxmlformats.org/officeDocument/2006/relationships/table" Target="../tables/table104.xml"/><Relationship Id="rId13" Type="http://schemas.openxmlformats.org/officeDocument/2006/relationships/table" Target="../tables/table115.xml"/><Relationship Id="rId12" Type="http://schemas.openxmlformats.org/officeDocument/2006/relationships/table" Target="../tables/table114.xml"/><Relationship Id="rId11" Type="http://schemas.openxmlformats.org/officeDocument/2006/relationships/table" Target="../tables/table113.xml"/><Relationship Id="rId10" Type="http://schemas.openxmlformats.org/officeDocument/2006/relationships/table" Target="../tables/table112.xml"/><Relationship Id="rId1" Type="http://schemas.openxmlformats.org/officeDocument/2006/relationships/table" Target="../tables/table103.xml"/></Relationships>
</file>

<file path=xl/worksheets/_rels/sheet12.xml.rels><?xml version="1.0" encoding="UTF-8" standalone="yes"?>
<Relationships xmlns="http://schemas.openxmlformats.org/package/2006/relationships"><Relationship Id="rId4" Type="http://schemas.openxmlformats.org/officeDocument/2006/relationships/table" Target="../tables/table119.xml"/><Relationship Id="rId3" Type="http://schemas.openxmlformats.org/officeDocument/2006/relationships/table" Target="../tables/table118.xml"/><Relationship Id="rId2" Type="http://schemas.openxmlformats.org/officeDocument/2006/relationships/table" Target="../tables/table117.xml"/><Relationship Id="rId1" Type="http://schemas.openxmlformats.org/officeDocument/2006/relationships/table" Target="../tables/table116.xml"/></Relationships>
</file>

<file path=xl/worksheets/_rels/sheet13.xml.rels><?xml version="1.0" encoding="UTF-8" standalone="yes"?>
<Relationships xmlns="http://schemas.openxmlformats.org/package/2006/relationships"><Relationship Id="rId2" Type="http://schemas.openxmlformats.org/officeDocument/2006/relationships/table" Target="../tables/table121.xml"/><Relationship Id="rId1" Type="http://schemas.openxmlformats.org/officeDocument/2006/relationships/table" Target="../tables/table120.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22.xml"/></Relationships>
</file>

<file path=xl/worksheets/_rels/sheet2.xml.rels><?xml version="1.0" encoding="UTF-8" standalone="yes"?>
<Relationships xmlns="http://schemas.openxmlformats.org/package/2006/relationships"><Relationship Id="rId9" Type="http://schemas.openxmlformats.org/officeDocument/2006/relationships/table" Target="../tables/table9.xml"/><Relationship Id="rId8" Type="http://schemas.openxmlformats.org/officeDocument/2006/relationships/table" Target="../tables/table8.xml"/><Relationship Id="rId7" Type="http://schemas.openxmlformats.org/officeDocument/2006/relationships/table" Target="../tables/table7.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 Id="rId3" Type="http://schemas.openxmlformats.org/officeDocument/2006/relationships/table" Target="../tables/table3.xml"/><Relationship Id="rId2" Type="http://schemas.openxmlformats.org/officeDocument/2006/relationships/table" Target="../tables/table2.xml"/><Relationship Id="rId11" Type="http://schemas.openxmlformats.org/officeDocument/2006/relationships/table" Target="../tables/table11.xml"/><Relationship Id="rId10" Type="http://schemas.openxmlformats.org/officeDocument/2006/relationships/table" Target="../tables/table10.xml"/><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9" Type="http://schemas.openxmlformats.org/officeDocument/2006/relationships/table" Target="../tables/table20.xml"/><Relationship Id="rId8" Type="http://schemas.openxmlformats.org/officeDocument/2006/relationships/table" Target="../tables/table19.xml"/><Relationship Id="rId7" Type="http://schemas.openxmlformats.org/officeDocument/2006/relationships/table" Target="../tables/table18.xml"/><Relationship Id="rId6" Type="http://schemas.openxmlformats.org/officeDocument/2006/relationships/table" Target="../tables/table17.xml"/><Relationship Id="rId5" Type="http://schemas.openxmlformats.org/officeDocument/2006/relationships/table" Target="../tables/table16.xml"/><Relationship Id="rId4" Type="http://schemas.openxmlformats.org/officeDocument/2006/relationships/table" Target="../tables/table15.xml"/><Relationship Id="rId3" Type="http://schemas.openxmlformats.org/officeDocument/2006/relationships/table" Target="../tables/table14.xml"/><Relationship Id="rId2" Type="http://schemas.openxmlformats.org/officeDocument/2006/relationships/table" Target="../tables/table13.xml"/><Relationship Id="rId13" Type="http://schemas.openxmlformats.org/officeDocument/2006/relationships/table" Target="../tables/table24.xml"/><Relationship Id="rId12" Type="http://schemas.openxmlformats.org/officeDocument/2006/relationships/table" Target="../tables/table23.xml"/><Relationship Id="rId11" Type="http://schemas.openxmlformats.org/officeDocument/2006/relationships/table" Target="../tables/table22.xml"/><Relationship Id="rId10" Type="http://schemas.openxmlformats.org/officeDocument/2006/relationships/table" Target="../tables/table21.xml"/><Relationship Id="rId1" Type="http://schemas.openxmlformats.org/officeDocument/2006/relationships/table" Target="../tables/table12.xml"/></Relationships>
</file>

<file path=xl/worksheets/_rels/sheet4.xml.rels><?xml version="1.0" encoding="UTF-8" standalone="yes"?>
<Relationships xmlns="http://schemas.openxmlformats.org/package/2006/relationships"><Relationship Id="rId9" Type="http://schemas.openxmlformats.org/officeDocument/2006/relationships/table" Target="../tables/table33.xml"/><Relationship Id="rId8" Type="http://schemas.openxmlformats.org/officeDocument/2006/relationships/table" Target="../tables/table32.xml"/><Relationship Id="rId7" Type="http://schemas.openxmlformats.org/officeDocument/2006/relationships/table" Target="../tables/table31.xml"/><Relationship Id="rId6" Type="http://schemas.openxmlformats.org/officeDocument/2006/relationships/table" Target="../tables/table30.xml"/><Relationship Id="rId5" Type="http://schemas.openxmlformats.org/officeDocument/2006/relationships/table" Target="../tables/table29.xml"/><Relationship Id="rId4" Type="http://schemas.openxmlformats.org/officeDocument/2006/relationships/table" Target="../tables/table28.xml"/><Relationship Id="rId3" Type="http://schemas.openxmlformats.org/officeDocument/2006/relationships/table" Target="../tables/table27.xml"/><Relationship Id="rId2" Type="http://schemas.openxmlformats.org/officeDocument/2006/relationships/table" Target="../tables/table26.xml"/><Relationship Id="rId13" Type="http://schemas.openxmlformats.org/officeDocument/2006/relationships/table" Target="../tables/table37.xml"/><Relationship Id="rId12" Type="http://schemas.openxmlformats.org/officeDocument/2006/relationships/table" Target="../tables/table36.xml"/><Relationship Id="rId11" Type="http://schemas.openxmlformats.org/officeDocument/2006/relationships/table" Target="../tables/table35.xml"/><Relationship Id="rId10" Type="http://schemas.openxmlformats.org/officeDocument/2006/relationships/table" Target="../tables/table34.xml"/><Relationship Id="rId1" Type="http://schemas.openxmlformats.org/officeDocument/2006/relationships/table" Target="../tables/table25.xml"/></Relationships>
</file>

<file path=xl/worksheets/_rels/sheet5.xml.rels><?xml version="1.0" encoding="UTF-8" standalone="yes"?>
<Relationships xmlns="http://schemas.openxmlformats.org/package/2006/relationships"><Relationship Id="rId9" Type="http://schemas.openxmlformats.org/officeDocument/2006/relationships/table" Target="../tables/table46.xml"/><Relationship Id="rId8" Type="http://schemas.openxmlformats.org/officeDocument/2006/relationships/table" Target="../tables/table45.xml"/><Relationship Id="rId7" Type="http://schemas.openxmlformats.org/officeDocument/2006/relationships/table" Target="../tables/table44.xml"/><Relationship Id="rId6" Type="http://schemas.openxmlformats.org/officeDocument/2006/relationships/table" Target="../tables/table43.xml"/><Relationship Id="rId5" Type="http://schemas.openxmlformats.org/officeDocument/2006/relationships/table" Target="../tables/table42.xml"/><Relationship Id="rId4" Type="http://schemas.openxmlformats.org/officeDocument/2006/relationships/table" Target="../tables/table41.xml"/><Relationship Id="rId3" Type="http://schemas.openxmlformats.org/officeDocument/2006/relationships/table" Target="../tables/table40.xml"/><Relationship Id="rId2" Type="http://schemas.openxmlformats.org/officeDocument/2006/relationships/table" Target="../tables/table39.xml"/><Relationship Id="rId13" Type="http://schemas.openxmlformats.org/officeDocument/2006/relationships/table" Target="../tables/table50.xml"/><Relationship Id="rId12" Type="http://schemas.openxmlformats.org/officeDocument/2006/relationships/table" Target="../tables/table49.xml"/><Relationship Id="rId11" Type="http://schemas.openxmlformats.org/officeDocument/2006/relationships/table" Target="../tables/table48.xml"/><Relationship Id="rId10" Type="http://schemas.openxmlformats.org/officeDocument/2006/relationships/table" Target="../tables/table47.xml"/><Relationship Id="rId1" Type="http://schemas.openxmlformats.org/officeDocument/2006/relationships/table" Target="../tables/table38.xml"/></Relationships>
</file>

<file path=xl/worksheets/_rels/sheet6.xml.rels><?xml version="1.0" encoding="UTF-8" standalone="yes"?>
<Relationships xmlns="http://schemas.openxmlformats.org/package/2006/relationships"><Relationship Id="rId9" Type="http://schemas.openxmlformats.org/officeDocument/2006/relationships/table" Target="../tables/table59.xml"/><Relationship Id="rId8" Type="http://schemas.openxmlformats.org/officeDocument/2006/relationships/table" Target="../tables/table58.xml"/><Relationship Id="rId7" Type="http://schemas.openxmlformats.org/officeDocument/2006/relationships/table" Target="../tables/table57.xml"/><Relationship Id="rId6" Type="http://schemas.openxmlformats.org/officeDocument/2006/relationships/table" Target="../tables/table56.xml"/><Relationship Id="rId5" Type="http://schemas.openxmlformats.org/officeDocument/2006/relationships/table" Target="../tables/table55.xml"/><Relationship Id="rId4" Type="http://schemas.openxmlformats.org/officeDocument/2006/relationships/table" Target="../tables/table54.xml"/><Relationship Id="rId3" Type="http://schemas.openxmlformats.org/officeDocument/2006/relationships/table" Target="../tables/table53.xml"/><Relationship Id="rId2" Type="http://schemas.openxmlformats.org/officeDocument/2006/relationships/table" Target="../tables/table52.xml"/><Relationship Id="rId13" Type="http://schemas.openxmlformats.org/officeDocument/2006/relationships/table" Target="../tables/table63.xml"/><Relationship Id="rId12" Type="http://schemas.openxmlformats.org/officeDocument/2006/relationships/table" Target="../tables/table62.xml"/><Relationship Id="rId11" Type="http://schemas.openxmlformats.org/officeDocument/2006/relationships/table" Target="../tables/table61.xml"/><Relationship Id="rId10" Type="http://schemas.openxmlformats.org/officeDocument/2006/relationships/table" Target="../tables/table60.xml"/><Relationship Id="rId1" Type="http://schemas.openxmlformats.org/officeDocument/2006/relationships/table" Target="../tables/table51.xml"/></Relationships>
</file>

<file path=xl/worksheets/_rels/sheet7.xml.rels><?xml version="1.0" encoding="UTF-8" standalone="yes"?>
<Relationships xmlns="http://schemas.openxmlformats.org/package/2006/relationships"><Relationship Id="rId9" Type="http://schemas.openxmlformats.org/officeDocument/2006/relationships/table" Target="../tables/table72.xml"/><Relationship Id="rId8" Type="http://schemas.openxmlformats.org/officeDocument/2006/relationships/table" Target="../tables/table71.xml"/><Relationship Id="rId7" Type="http://schemas.openxmlformats.org/officeDocument/2006/relationships/table" Target="../tables/table70.xml"/><Relationship Id="rId6" Type="http://schemas.openxmlformats.org/officeDocument/2006/relationships/table" Target="../tables/table69.xml"/><Relationship Id="rId5" Type="http://schemas.openxmlformats.org/officeDocument/2006/relationships/table" Target="../tables/table68.xml"/><Relationship Id="rId4" Type="http://schemas.openxmlformats.org/officeDocument/2006/relationships/table" Target="../tables/table67.xml"/><Relationship Id="rId3" Type="http://schemas.openxmlformats.org/officeDocument/2006/relationships/table" Target="../tables/table66.xml"/><Relationship Id="rId2" Type="http://schemas.openxmlformats.org/officeDocument/2006/relationships/table" Target="../tables/table65.xml"/><Relationship Id="rId13" Type="http://schemas.openxmlformats.org/officeDocument/2006/relationships/table" Target="../tables/table76.xml"/><Relationship Id="rId12" Type="http://schemas.openxmlformats.org/officeDocument/2006/relationships/table" Target="../tables/table75.xml"/><Relationship Id="rId11" Type="http://schemas.openxmlformats.org/officeDocument/2006/relationships/table" Target="../tables/table74.xml"/><Relationship Id="rId10" Type="http://schemas.openxmlformats.org/officeDocument/2006/relationships/table" Target="../tables/table73.xml"/><Relationship Id="rId1" Type="http://schemas.openxmlformats.org/officeDocument/2006/relationships/table" Target="../tables/table64.xml"/></Relationships>
</file>

<file path=xl/worksheets/_rels/sheet8.xml.rels><?xml version="1.0" encoding="UTF-8" standalone="yes"?>
<Relationships xmlns="http://schemas.openxmlformats.org/package/2006/relationships"><Relationship Id="rId9" Type="http://schemas.openxmlformats.org/officeDocument/2006/relationships/table" Target="../tables/table85.xml"/><Relationship Id="rId8" Type="http://schemas.openxmlformats.org/officeDocument/2006/relationships/table" Target="../tables/table84.xml"/><Relationship Id="rId7" Type="http://schemas.openxmlformats.org/officeDocument/2006/relationships/table" Target="../tables/table83.xml"/><Relationship Id="rId6" Type="http://schemas.openxmlformats.org/officeDocument/2006/relationships/table" Target="../tables/table82.xml"/><Relationship Id="rId5" Type="http://schemas.openxmlformats.org/officeDocument/2006/relationships/table" Target="../tables/table81.xml"/><Relationship Id="rId4" Type="http://schemas.openxmlformats.org/officeDocument/2006/relationships/table" Target="../tables/table80.xml"/><Relationship Id="rId3" Type="http://schemas.openxmlformats.org/officeDocument/2006/relationships/table" Target="../tables/table79.xml"/><Relationship Id="rId2" Type="http://schemas.openxmlformats.org/officeDocument/2006/relationships/table" Target="../tables/table78.xml"/><Relationship Id="rId13" Type="http://schemas.openxmlformats.org/officeDocument/2006/relationships/table" Target="../tables/table89.xml"/><Relationship Id="rId12" Type="http://schemas.openxmlformats.org/officeDocument/2006/relationships/table" Target="../tables/table88.xml"/><Relationship Id="rId11" Type="http://schemas.openxmlformats.org/officeDocument/2006/relationships/table" Target="../tables/table87.xml"/><Relationship Id="rId10" Type="http://schemas.openxmlformats.org/officeDocument/2006/relationships/table" Target="../tables/table86.xml"/><Relationship Id="rId1" Type="http://schemas.openxmlformats.org/officeDocument/2006/relationships/table" Target="../tables/table77.xml"/></Relationships>
</file>

<file path=xl/worksheets/_rels/sheet9.xml.rels><?xml version="1.0" encoding="UTF-8" standalone="yes"?>
<Relationships xmlns="http://schemas.openxmlformats.org/package/2006/relationships"><Relationship Id="rId9" Type="http://schemas.openxmlformats.org/officeDocument/2006/relationships/table" Target="../tables/table98.xml"/><Relationship Id="rId8" Type="http://schemas.openxmlformats.org/officeDocument/2006/relationships/table" Target="../tables/table97.xml"/><Relationship Id="rId7" Type="http://schemas.openxmlformats.org/officeDocument/2006/relationships/table" Target="../tables/table96.xml"/><Relationship Id="rId6" Type="http://schemas.openxmlformats.org/officeDocument/2006/relationships/table" Target="../tables/table95.xml"/><Relationship Id="rId5" Type="http://schemas.openxmlformats.org/officeDocument/2006/relationships/table" Target="../tables/table94.xml"/><Relationship Id="rId4" Type="http://schemas.openxmlformats.org/officeDocument/2006/relationships/table" Target="../tables/table93.xml"/><Relationship Id="rId3" Type="http://schemas.openxmlformats.org/officeDocument/2006/relationships/table" Target="../tables/table92.xml"/><Relationship Id="rId2" Type="http://schemas.openxmlformats.org/officeDocument/2006/relationships/table" Target="../tables/table91.xml"/><Relationship Id="rId13" Type="http://schemas.openxmlformats.org/officeDocument/2006/relationships/table" Target="../tables/table102.xml"/><Relationship Id="rId12" Type="http://schemas.openxmlformats.org/officeDocument/2006/relationships/table" Target="../tables/table101.xml"/><Relationship Id="rId11" Type="http://schemas.openxmlformats.org/officeDocument/2006/relationships/table" Target="../tables/table100.xml"/><Relationship Id="rId10" Type="http://schemas.openxmlformats.org/officeDocument/2006/relationships/table" Target="../tables/table99.xml"/><Relationship Id="rId1" Type="http://schemas.openxmlformats.org/officeDocument/2006/relationships/table" Target="../tables/table9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10" defaultRowHeight="15"/>
  <sheetData/>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7"/>
  <sheetViews>
    <sheetView topLeftCell="A108" workbookViewId="0">
      <selection activeCell="I134" sqref="I134"/>
    </sheetView>
  </sheetViews>
  <sheetFormatPr defaultColWidth="9.14285714285714" defaultRowHeight="15" outlineLevelCol="6"/>
  <cols>
    <col min="1" max="1" width="10.8571428571429" customWidth="1"/>
    <col min="2" max="2" width="55.1428571428571" customWidth="1"/>
    <col min="3" max="3" width="26.2857142857143" customWidth="1"/>
    <col min="4" max="4" width="33.8571428571429" customWidth="1"/>
    <col min="6" max="6" width="21.4285714285714" customWidth="1"/>
    <col min="7" max="7" width="14.5714285714286" customWidth="1"/>
  </cols>
  <sheetData>
    <row r="1" spans="1:7">
      <c r="A1" s="85"/>
      <c r="B1" s="85"/>
      <c r="C1" s="85"/>
      <c r="D1" s="85"/>
      <c r="E1" s="85"/>
      <c r="F1" s="85"/>
      <c r="G1" s="85"/>
    </row>
    <row r="2" ht="19.5" spans="1:7">
      <c r="A2" s="154" t="s">
        <v>163</v>
      </c>
      <c r="B2" s="154"/>
      <c r="C2" s="154"/>
      <c r="D2" s="154"/>
      <c r="E2" s="85"/>
      <c r="F2" s="85"/>
      <c r="G2" s="85"/>
    </row>
    <row r="3" ht="15.75" spans="1:7">
      <c r="A3" s="155" t="s">
        <v>228</v>
      </c>
      <c r="B3" s="155"/>
      <c r="C3" s="155"/>
      <c r="D3" s="155"/>
      <c r="E3" s="85"/>
      <c r="F3" s="85"/>
      <c r="G3" s="85"/>
    </row>
    <row r="4" spans="1:7">
      <c r="A4" s="156" t="s">
        <v>165</v>
      </c>
      <c r="B4" s="157" t="s">
        <v>166</v>
      </c>
      <c r="C4" s="158"/>
      <c r="D4" s="158"/>
      <c r="E4" s="85"/>
      <c r="F4" s="85"/>
      <c r="G4" s="85"/>
    </row>
    <row r="5" spans="1:7">
      <c r="A5" s="159"/>
      <c r="B5" s="160"/>
      <c r="C5" s="160"/>
      <c r="D5" s="160"/>
      <c r="E5" s="85"/>
      <c r="F5" s="85"/>
      <c r="G5" s="85"/>
    </row>
    <row r="6" ht="15.75" spans="1:7">
      <c r="A6" s="161" t="s">
        <v>167</v>
      </c>
      <c r="B6" s="161"/>
      <c r="C6" s="161"/>
      <c r="D6" s="161"/>
      <c r="E6" s="85"/>
      <c r="F6" s="85"/>
      <c r="G6" s="85"/>
    </row>
    <row r="7" ht="15.75" spans="1:7">
      <c r="A7" s="162" t="s">
        <v>28</v>
      </c>
      <c r="B7" s="163" t="s">
        <v>168</v>
      </c>
      <c r="C7" s="164" t="s">
        <v>169</v>
      </c>
      <c r="D7" s="164"/>
      <c r="E7" s="85"/>
      <c r="F7" s="85"/>
      <c r="G7" s="85"/>
    </row>
    <row r="8" spans="1:7">
      <c r="A8" s="165" t="s">
        <v>31</v>
      </c>
      <c r="B8" s="166" t="s">
        <v>170</v>
      </c>
      <c r="C8" s="167" t="s">
        <v>171</v>
      </c>
      <c r="D8" s="167"/>
      <c r="E8" s="85"/>
      <c r="F8" s="85"/>
      <c r="G8" s="85"/>
    </row>
    <row r="9" spans="1:7">
      <c r="A9" s="168" t="s">
        <v>34</v>
      </c>
      <c r="B9" s="169" t="s">
        <v>172</v>
      </c>
      <c r="C9" s="167" t="s">
        <v>229</v>
      </c>
      <c r="D9" s="167"/>
      <c r="E9" s="85"/>
      <c r="F9" s="85"/>
      <c r="G9" s="85"/>
    </row>
    <row r="10" spans="1:7">
      <c r="A10" s="165" t="s">
        <v>39</v>
      </c>
      <c r="B10" s="166" t="s">
        <v>174</v>
      </c>
      <c r="C10" s="167" t="s">
        <v>175</v>
      </c>
      <c r="D10" s="167"/>
      <c r="E10" s="85"/>
      <c r="F10" s="85"/>
      <c r="G10" s="85"/>
    </row>
    <row r="11" ht="15.75" spans="1:7">
      <c r="A11" s="170" t="s">
        <v>176</v>
      </c>
      <c r="B11" s="170"/>
      <c r="C11" s="170"/>
      <c r="D11" s="170"/>
      <c r="E11" s="85"/>
      <c r="F11" s="85"/>
      <c r="G11" s="85"/>
    </row>
    <row r="12" ht="16.5" spans="1:7">
      <c r="A12" s="171" t="s">
        <v>177</v>
      </c>
      <c r="B12" s="171"/>
      <c r="C12" s="170" t="s">
        <v>178</v>
      </c>
      <c r="D12" s="172" t="s">
        <v>179</v>
      </c>
      <c r="E12" s="85"/>
      <c r="F12" s="85"/>
      <c r="G12" s="85"/>
    </row>
    <row r="13" ht="15.75" spans="1:7">
      <c r="A13" s="173" t="s">
        <v>250</v>
      </c>
      <c r="B13" s="173"/>
      <c r="C13" s="167" t="s">
        <v>181</v>
      </c>
      <c r="D13" s="174">
        <f>RESUMO!D10</f>
        <v>1</v>
      </c>
      <c r="E13" s="85"/>
      <c r="F13" s="85"/>
      <c r="G13" s="85"/>
    </row>
    <row r="14" spans="1:7">
      <c r="A14" s="175"/>
      <c r="B14" s="175"/>
      <c r="C14" s="167"/>
      <c r="D14" s="176"/>
      <c r="E14" s="85"/>
      <c r="F14" s="85"/>
      <c r="G14" s="85"/>
    </row>
    <row r="15" ht="15.75" spans="1:7">
      <c r="A15" s="170" t="s">
        <v>0</v>
      </c>
      <c r="B15" s="170"/>
      <c r="C15" s="170"/>
      <c r="D15" s="170"/>
      <c r="E15" s="85"/>
      <c r="F15" s="177"/>
      <c r="G15" s="177"/>
    </row>
    <row r="16" ht="15.75" spans="1:7">
      <c r="A16" s="178" t="s">
        <v>2</v>
      </c>
      <c r="B16" s="85" t="s">
        <v>3</v>
      </c>
      <c r="C16" s="178" t="s">
        <v>4</v>
      </c>
      <c r="D16" s="178" t="s">
        <v>5</v>
      </c>
      <c r="E16" s="85"/>
      <c r="F16" s="85"/>
      <c r="G16" s="85"/>
    </row>
    <row r="17" spans="1:7">
      <c r="A17" s="178">
        <v>1</v>
      </c>
      <c r="B17" s="85" t="s">
        <v>6</v>
      </c>
      <c r="C17" s="179" t="s">
        <v>88</v>
      </c>
      <c r="D17" s="179" t="str">
        <f>A13</f>
        <v>Jardineiro</v>
      </c>
      <c r="E17" s="85"/>
      <c r="F17" s="85"/>
      <c r="G17" s="85"/>
    </row>
    <row r="18" spans="1:7">
      <c r="A18" s="178">
        <v>2</v>
      </c>
      <c r="B18" s="85" t="s">
        <v>9</v>
      </c>
      <c r="C18" s="179" t="s">
        <v>182</v>
      </c>
      <c r="D18" s="179" t="s">
        <v>251</v>
      </c>
      <c r="E18" s="85"/>
      <c r="F18" s="85"/>
      <c r="G18" s="85"/>
    </row>
    <row r="19" spans="1:7">
      <c r="A19" s="178">
        <v>3</v>
      </c>
      <c r="B19" s="85" t="s">
        <v>12</v>
      </c>
      <c r="C19" s="179" t="str">
        <f>C9</f>
        <v>CCT PB 000047/2021</v>
      </c>
      <c r="D19" s="180">
        <v>1124</v>
      </c>
      <c r="E19" s="85"/>
      <c r="F19" s="85"/>
      <c r="G19" s="85"/>
    </row>
    <row r="20" spans="1:7">
      <c r="A20" s="178">
        <v>4</v>
      </c>
      <c r="B20" s="85" t="s">
        <v>15</v>
      </c>
      <c r="C20" s="179" t="str">
        <f>C9</f>
        <v>CCT PB 000047/2021</v>
      </c>
      <c r="D20" s="179" t="s">
        <v>184</v>
      </c>
      <c r="E20" s="85"/>
      <c r="F20" s="85"/>
      <c r="G20" s="85"/>
    </row>
    <row r="21" spans="1:7">
      <c r="A21" s="178">
        <v>5</v>
      </c>
      <c r="B21" s="85" t="s">
        <v>19</v>
      </c>
      <c r="C21" s="179" t="str">
        <f>C9</f>
        <v>CCT PB 000047/2021</v>
      </c>
      <c r="D21" s="181" t="s">
        <v>185</v>
      </c>
      <c r="E21" s="85"/>
      <c r="F21" s="85"/>
      <c r="G21" s="85"/>
    </row>
    <row r="22" spans="1:7">
      <c r="A22" s="85"/>
      <c r="B22" s="85"/>
      <c r="C22" s="85"/>
      <c r="D22" s="85"/>
      <c r="E22" s="85"/>
      <c r="F22" s="177"/>
      <c r="G22" s="177"/>
    </row>
    <row r="23" spans="1:7">
      <c r="A23" s="161" t="s">
        <v>22</v>
      </c>
      <c r="B23" s="161"/>
      <c r="C23" s="161"/>
      <c r="D23" s="161"/>
      <c r="E23" s="85"/>
      <c r="F23" s="85"/>
      <c r="G23" s="85"/>
    </row>
    <row r="24" spans="1:7">
      <c r="A24" s="178" t="s">
        <v>25</v>
      </c>
      <c r="B24" s="85" t="s">
        <v>26</v>
      </c>
      <c r="C24" s="178" t="s">
        <v>4</v>
      </c>
      <c r="D24" s="178" t="s">
        <v>5</v>
      </c>
      <c r="E24" s="85"/>
      <c r="F24" s="85"/>
      <c r="G24" s="182"/>
    </row>
    <row r="25" spans="1:7">
      <c r="A25" s="178" t="s">
        <v>28</v>
      </c>
      <c r="B25" s="85" t="s">
        <v>29</v>
      </c>
      <c r="C25" s="179" t="s">
        <v>221</v>
      </c>
      <c r="D25" s="180">
        <f>D19</f>
        <v>1124</v>
      </c>
      <c r="E25" s="85"/>
      <c r="F25" s="85"/>
      <c r="G25" s="182"/>
    </row>
    <row r="26" spans="1:7">
      <c r="A26" s="178" t="s">
        <v>31</v>
      </c>
      <c r="B26" s="85" t="s">
        <v>32</v>
      </c>
      <c r="C26" s="179"/>
      <c r="D26" s="180">
        <v>0</v>
      </c>
      <c r="E26" s="85"/>
      <c r="F26" s="85"/>
      <c r="G26" s="182"/>
    </row>
    <row r="27" spans="1:7">
      <c r="A27" s="178" t="s">
        <v>34</v>
      </c>
      <c r="B27" s="85" t="s">
        <v>35</v>
      </c>
      <c r="C27" s="179"/>
      <c r="D27" s="180">
        <v>0</v>
      </c>
      <c r="E27" s="85"/>
      <c r="F27" s="85"/>
      <c r="G27" s="85"/>
    </row>
    <row r="28" spans="1:7">
      <c r="A28" s="178" t="s">
        <v>36</v>
      </c>
      <c r="B28" s="85" t="s">
        <v>37</v>
      </c>
      <c r="C28" s="179"/>
      <c r="D28" s="180">
        <v>0</v>
      </c>
      <c r="E28" s="85"/>
      <c r="F28" s="85"/>
      <c r="G28" s="85"/>
    </row>
    <row r="29" spans="1:7">
      <c r="A29" s="178" t="s">
        <v>39</v>
      </c>
      <c r="B29" s="85" t="s">
        <v>40</v>
      </c>
      <c r="C29" s="179"/>
      <c r="D29" s="180">
        <v>0</v>
      </c>
      <c r="E29" s="85"/>
      <c r="F29" s="85"/>
      <c r="G29" s="85"/>
    </row>
    <row r="30" spans="1:7">
      <c r="A30" s="178" t="s">
        <v>41</v>
      </c>
      <c r="B30" s="85" t="s">
        <v>42</v>
      </c>
      <c r="C30" s="179"/>
      <c r="D30" s="180">
        <v>0</v>
      </c>
      <c r="E30" s="85"/>
      <c r="F30" s="85"/>
      <c r="G30" s="85"/>
    </row>
    <row r="31" spans="1:7">
      <c r="A31" s="178" t="s">
        <v>44</v>
      </c>
      <c r="B31" s="85"/>
      <c r="C31" s="178"/>
      <c r="D31" s="183">
        <f>TRUNC(SUM(D25:D30),2)</f>
        <v>1124</v>
      </c>
      <c r="E31" s="85"/>
      <c r="F31" s="177"/>
      <c r="G31" s="177"/>
    </row>
    <row r="32" spans="1:7">
      <c r="A32" s="85"/>
      <c r="B32" s="85"/>
      <c r="C32" s="85"/>
      <c r="D32" s="85"/>
      <c r="E32" s="85"/>
      <c r="F32" s="85"/>
      <c r="G32" s="85"/>
    </row>
    <row r="33" spans="1:7">
      <c r="A33" s="184" t="s">
        <v>47</v>
      </c>
      <c r="B33" s="184"/>
      <c r="C33" s="184"/>
      <c r="D33" s="184"/>
      <c r="E33" s="85"/>
      <c r="F33" s="85"/>
      <c r="G33" s="182"/>
    </row>
    <row r="34" spans="1:7">
      <c r="A34" s="85"/>
      <c r="B34" s="85"/>
      <c r="C34" s="85"/>
      <c r="D34" s="85"/>
      <c r="E34" s="85"/>
      <c r="F34" s="85"/>
      <c r="G34" s="85"/>
    </row>
    <row r="35" spans="1:7">
      <c r="A35" s="177" t="s">
        <v>49</v>
      </c>
      <c r="B35" s="177"/>
      <c r="C35" s="177"/>
      <c r="D35" s="177"/>
      <c r="E35" s="85"/>
      <c r="F35" s="85"/>
      <c r="G35" s="85"/>
    </row>
    <row r="36" spans="1:7">
      <c r="A36" s="178" t="s">
        <v>51</v>
      </c>
      <c r="B36" s="85" t="s">
        <v>52</v>
      </c>
      <c r="C36" s="178" t="s">
        <v>24</v>
      </c>
      <c r="D36" s="178" t="s">
        <v>5</v>
      </c>
      <c r="E36" s="85"/>
      <c r="F36" s="85"/>
      <c r="G36" s="85"/>
    </row>
    <row r="37" spans="1:7">
      <c r="A37" s="178" t="s">
        <v>28</v>
      </c>
      <c r="B37" s="85" t="s">
        <v>53</v>
      </c>
      <c r="C37" s="185">
        <f>(1/12)</f>
        <v>0.0833333333333333</v>
      </c>
      <c r="D37" s="183">
        <f>TRUNC($D$31*C37,2)</f>
        <v>93.66</v>
      </c>
      <c r="E37" s="85"/>
      <c r="F37" s="186"/>
      <c r="G37" s="186"/>
    </row>
    <row r="38" spans="1:7">
      <c r="A38" s="178" t="s">
        <v>31</v>
      </c>
      <c r="B38" s="85" t="s">
        <v>54</v>
      </c>
      <c r="C38" s="185">
        <f>(((1+1/3)/12))</f>
        <v>0.111111111111111</v>
      </c>
      <c r="D38" s="183">
        <f>TRUNC($D$31*C38,2)</f>
        <v>124.88</v>
      </c>
      <c r="E38" s="85"/>
      <c r="F38" s="186"/>
      <c r="G38" s="186"/>
    </row>
    <row r="39" spans="1:7">
      <c r="A39" s="178" t="s">
        <v>44</v>
      </c>
      <c r="B39" s="85"/>
      <c r="C39" s="85"/>
      <c r="D39" s="183">
        <f>TRUNC((SUM(D37:D38)),2)</f>
        <v>218.54</v>
      </c>
      <c r="E39" s="85"/>
      <c r="F39" s="186"/>
      <c r="G39" s="186"/>
    </row>
    <row r="40" ht="15.75" spans="1:7">
      <c r="A40" s="85"/>
      <c r="B40" s="85"/>
      <c r="C40" s="85"/>
      <c r="D40" s="183"/>
      <c r="E40" s="85"/>
      <c r="F40" s="186"/>
      <c r="G40" s="186"/>
    </row>
    <row r="41" ht="16.5" spans="1:7">
      <c r="A41" s="187" t="s">
        <v>187</v>
      </c>
      <c r="B41" s="187"/>
      <c r="C41" s="188" t="s">
        <v>188</v>
      </c>
      <c r="D41" s="189">
        <f>D31</f>
        <v>1124</v>
      </c>
      <c r="E41" s="85"/>
      <c r="F41" s="186"/>
      <c r="G41" s="186"/>
    </row>
    <row r="42" ht="16.5" spans="1:7">
      <c r="A42" s="187"/>
      <c r="B42" s="187"/>
      <c r="C42" s="190" t="s">
        <v>189</v>
      </c>
      <c r="D42" s="189">
        <f>D39</f>
        <v>218.54</v>
      </c>
      <c r="E42" s="85"/>
      <c r="F42" s="186"/>
      <c r="G42" s="186"/>
    </row>
    <row r="43" ht="16.5" spans="1:7">
      <c r="A43" s="187"/>
      <c r="B43" s="187"/>
      <c r="C43" s="188" t="s">
        <v>190</v>
      </c>
      <c r="D43" s="191">
        <f>TRUNC((SUM(D41:D42)),2)</f>
        <v>1342.54</v>
      </c>
      <c r="E43" s="85"/>
      <c r="F43" s="186"/>
      <c r="G43" s="186"/>
    </row>
    <row r="44" ht="15.75" spans="1:7">
      <c r="A44" s="178"/>
      <c r="B44" s="85"/>
      <c r="C44" s="192"/>
      <c r="D44" s="183"/>
      <c r="E44" s="85"/>
      <c r="F44" s="186"/>
      <c r="G44" s="186"/>
    </row>
    <row r="45" spans="1:7">
      <c r="A45" s="177" t="s">
        <v>63</v>
      </c>
      <c r="B45" s="177"/>
      <c r="C45" s="177"/>
      <c r="D45" s="177"/>
      <c r="E45" s="85"/>
      <c r="F45" s="85"/>
      <c r="G45" s="85"/>
    </row>
    <row r="46" spans="1:7">
      <c r="A46" s="178" t="s">
        <v>64</v>
      </c>
      <c r="B46" s="85" t="s">
        <v>65</v>
      </c>
      <c r="C46" s="178" t="s">
        <v>24</v>
      </c>
      <c r="D46" s="178" t="s">
        <v>66</v>
      </c>
      <c r="E46" s="85"/>
      <c r="F46" s="85"/>
      <c r="G46" s="85"/>
    </row>
    <row r="47" spans="1:7">
      <c r="A47" s="178" t="s">
        <v>28</v>
      </c>
      <c r="B47" s="85" t="s">
        <v>67</v>
      </c>
      <c r="C47" s="185">
        <v>0.2</v>
      </c>
      <c r="D47" s="183">
        <f t="shared" ref="D47:D54" si="0">TRUNC(($D$43*C47),2)</f>
        <v>268.5</v>
      </c>
      <c r="E47" s="85"/>
      <c r="F47" s="85"/>
      <c r="G47" s="85"/>
    </row>
    <row r="48" spans="1:7">
      <c r="A48" s="178" t="s">
        <v>31</v>
      </c>
      <c r="B48" s="85" t="s">
        <v>68</v>
      </c>
      <c r="C48" s="185">
        <v>0.025</v>
      </c>
      <c r="D48" s="183">
        <f t="shared" si="0"/>
        <v>33.56</v>
      </c>
      <c r="E48" s="85"/>
      <c r="F48" s="85"/>
      <c r="G48" s="85"/>
    </row>
    <row r="49" spans="1:7">
      <c r="A49" s="178" t="s">
        <v>34</v>
      </c>
      <c r="B49" s="85" t="s">
        <v>191</v>
      </c>
      <c r="C49" s="193">
        <v>0.06</v>
      </c>
      <c r="D49" s="180">
        <f t="shared" si="0"/>
        <v>80.55</v>
      </c>
      <c r="E49" s="85"/>
      <c r="F49" s="85"/>
      <c r="G49" s="85"/>
    </row>
    <row r="50" spans="1:7">
      <c r="A50" s="178" t="s">
        <v>36</v>
      </c>
      <c r="B50" s="85" t="s">
        <v>70</v>
      </c>
      <c r="C50" s="185">
        <v>0.015</v>
      </c>
      <c r="D50" s="183">
        <f t="shared" si="0"/>
        <v>20.13</v>
      </c>
      <c r="E50" s="85"/>
      <c r="F50" s="85"/>
      <c r="G50" s="85"/>
    </row>
    <row r="51" spans="1:7">
      <c r="A51" s="178" t="s">
        <v>39</v>
      </c>
      <c r="B51" s="85" t="s">
        <v>71</v>
      </c>
      <c r="C51" s="185">
        <v>0.01</v>
      </c>
      <c r="D51" s="183">
        <f t="shared" si="0"/>
        <v>13.42</v>
      </c>
      <c r="E51" s="85"/>
      <c r="F51" s="85"/>
      <c r="G51" s="85"/>
    </row>
    <row r="52" spans="1:7">
      <c r="A52" s="178" t="s">
        <v>41</v>
      </c>
      <c r="B52" s="85" t="s">
        <v>72</v>
      </c>
      <c r="C52" s="185">
        <v>0.006</v>
      </c>
      <c r="D52" s="183">
        <f t="shared" si="0"/>
        <v>8.05</v>
      </c>
      <c r="E52" s="85"/>
      <c r="F52" s="85"/>
      <c r="G52" s="85"/>
    </row>
    <row r="53" spans="1:7">
      <c r="A53" s="178" t="s">
        <v>73</v>
      </c>
      <c r="B53" s="85" t="s">
        <v>74</v>
      </c>
      <c r="C53" s="185">
        <v>0.002</v>
      </c>
      <c r="D53" s="183">
        <f t="shared" si="0"/>
        <v>2.68</v>
      </c>
      <c r="E53" s="85"/>
      <c r="F53" s="85"/>
      <c r="G53" s="85"/>
    </row>
    <row r="54" spans="1:7">
      <c r="A54" s="178" t="s">
        <v>75</v>
      </c>
      <c r="B54" s="85" t="s">
        <v>76</v>
      </c>
      <c r="C54" s="185">
        <v>0.08</v>
      </c>
      <c r="D54" s="183">
        <f t="shared" si="0"/>
        <v>107.4</v>
      </c>
      <c r="E54" s="85"/>
      <c r="F54" s="85"/>
      <c r="G54" s="85"/>
    </row>
    <row r="55" spans="1:7">
      <c r="A55" s="178" t="s">
        <v>44</v>
      </c>
      <c r="B55" s="85"/>
      <c r="C55" s="192">
        <f>SUM(C47:C54)</f>
        <v>0.398</v>
      </c>
      <c r="D55" s="183">
        <f>TRUNC((SUM(D47:D54)),2)</f>
        <v>534.29</v>
      </c>
      <c r="E55" s="85"/>
      <c r="F55" s="85"/>
      <c r="G55" s="85"/>
    </row>
    <row r="56" spans="1:7">
      <c r="A56" s="178"/>
      <c r="B56" s="85"/>
      <c r="C56" s="192"/>
      <c r="D56" s="183"/>
      <c r="E56" s="85"/>
      <c r="F56" s="85"/>
      <c r="G56" s="85"/>
    </row>
    <row r="57" spans="1:7">
      <c r="A57" s="177" t="s">
        <v>81</v>
      </c>
      <c r="B57" s="177"/>
      <c r="C57" s="177"/>
      <c r="D57" s="177"/>
      <c r="E57" s="85"/>
      <c r="F57" s="85"/>
      <c r="G57" s="85"/>
    </row>
    <row r="58" spans="1:7">
      <c r="A58" s="178" t="s">
        <v>82</v>
      </c>
      <c r="B58" s="85" t="s">
        <v>83</v>
      </c>
      <c r="C58" s="178" t="s">
        <v>4</v>
      </c>
      <c r="D58" s="178" t="s">
        <v>5</v>
      </c>
      <c r="E58" s="85"/>
      <c r="F58" s="85"/>
      <c r="G58" s="85"/>
    </row>
    <row r="59" spans="1:7">
      <c r="A59" s="178" t="s">
        <v>28</v>
      </c>
      <c r="B59" s="85" t="s">
        <v>84</v>
      </c>
      <c r="C59" s="179"/>
      <c r="D59" s="194">
        <v>0</v>
      </c>
      <c r="E59" s="85"/>
      <c r="F59" s="85"/>
      <c r="G59" s="85"/>
    </row>
    <row r="60" spans="1:7">
      <c r="A60" s="178" t="s">
        <v>31</v>
      </c>
      <c r="B60" s="85" t="s">
        <v>85</v>
      </c>
      <c r="C60" s="179" t="str">
        <f>C9</f>
        <v>CCT PB 000047/2021</v>
      </c>
      <c r="D60" s="194">
        <f>TRUNC((((22*18))-(((22*18))*0.2)),2)</f>
        <v>316.8</v>
      </c>
      <c r="E60" s="85"/>
      <c r="F60" s="85"/>
      <c r="G60" s="85"/>
    </row>
    <row r="61" spans="1:7">
      <c r="A61" s="178" t="s">
        <v>34</v>
      </c>
      <c r="B61" s="85" t="s">
        <v>86</v>
      </c>
      <c r="C61" s="179"/>
      <c r="D61" s="194">
        <v>0</v>
      </c>
      <c r="E61" s="85"/>
      <c r="F61" s="85"/>
      <c r="G61" s="85"/>
    </row>
    <row r="62" spans="1:7">
      <c r="A62" s="86" t="s">
        <v>36</v>
      </c>
      <c r="B62" s="195" t="s">
        <v>234</v>
      </c>
      <c r="C62" s="194"/>
      <c r="D62" s="194">
        <v>0</v>
      </c>
      <c r="E62" s="85"/>
      <c r="F62" s="195"/>
      <c r="G62" s="85"/>
    </row>
    <row r="63" spans="1:7">
      <c r="A63" s="178" t="s">
        <v>39</v>
      </c>
      <c r="B63" s="85" t="s">
        <v>193</v>
      </c>
      <c r="C63" s="179" t="str">
        <f>C9</f>
        <v>CCT PB 000047/2021</v>
      </c>
      <c r="D63" s="196">
        <v>15</v>
      </c>
      <c r="E63" s="85"/>
      <c r="F63" s="85"/>
      <c r="G63" s="85"/>
    </row>
    <row r="64" spans="1:7">
      <c r="A64" s="178" t="s">
        <v>41</v>
      </c>
      <c r="B64" s="197" t="s">
        <v>194</v>
      </c>
      <c r="C64" s="194" t="str">
        <f>C9</f>
        <v>CCT PB 000047/2021</v>
      </c>
      <c r="D64" s="196">
        <v>5</v>
      </c>
      <c r="E64" s="85"/>
      <c r="F64" s="85"/>
      <c r="G64" s="85"/>
    </row>
    <row r="65" spans="1:7">
      <c r="A65" s="178" t="s">
        <v>44</v>
      </c>
      <c r="B65" s="85"/>
      <c r="C65" s="85"/>
      <c r="D65" s="198">
        <f>TRUNC((SUM(D59:D64)),2)</f>
        <v>336.8</v>
      </c>
      <c r="E65" s="85"/>
      <c r="F65" s="85"/>
      <c r="G65" s="85"/>
    </row>
    <row r="66" spans="1:7">
      <c r="A66" s="178"/>
      <c r="B66" s="85"/>
      <c r="C66" s="85"/>
      <c r="D66" s="183"/>
      <c r="E66" s="85"/>
      <c r="F66" s="85"/>
      <c r="G66" s="85"/>
    </row>
    <row r="67" spans="1:7">
      <c r="A67" s="177" t="s">
        <v>91</v>
      </c>
      <c r="B67" s="177"/>
      <c r="C67" s="177"/>
      <c r="D67" s="177"/>
      <c r="E67" s="85"/>
      <c r="F67" s="85"/>
      <c r="G67" s="85"/>
    </row>
    <row r="68" spans="1:7">
      <c r="A68" s="178" t="s">
        <v>92</v>
      </c>
      <c r="B68" s="85" t="s">
        <v>93</v>
      </c>
      <c r="C68" s="178" t="s">
        <v>4</v>
      </c>
      <c r="D68" s="178" t="s">
        <v>5</v>
      </c>
      <c r="E68" s="85"/>
      <c r="F68" s="85"/>
      <c r="G68" s="85"/>
    </row>
    <row r="69" spans="1:7">
      <c r="A69" s="178" t="s">
        <v>51</v>
      </c>
      <c r="B69" s="85" t="s">
        <v>52</v>
      </c>
      <c r="C69" s="178"/>
      <c r="D69" s="183">
        <f>D39</f>
        <v>218.54</v>
      </c>
      <c r="E69" s="85"/>
      <c r="F69" s="85"/>
      <c r="G69" s="85"/>
    </row>
    <row r="70" spans="1:7">
      <c r="A70" s="178" t="s">
        <v>64</v>
      </c>
      <c r="B70" s="85" t="s">
        <v>65</v>
      </c>
      <c r="C70" s="178"/>
      <c r="D70" s="183">
        <f>D55</f>
        <v>534.29</v>
      </c>
      <c r="E70" s="85"/>
      <c r="F70" s="85"/>
      <c r="G70" s="85"/>
    </row>
    <row r="71" spans="1:7">
      <c r="A71" s="178" t="s">
        <v>82</v>
      </c>
      <c r="B71" s="85" t="s">
        <v>83</v>
      </c>
      <c r="C71" s="178"/>
      <c r="D71" s="183">
        <f>D65</f>
        <v>336.8</v>
      </c>
      <c r="E71" s="85"/>
      <c r="F71" s="85"/>
      <c r="G71" s="85"/>
    </row>
    <row r="72" spans="1:7">
      <c r="A72" s="178" t="s">
        <v>44</v>
      </c>
      <c r="B72" s="85"/>
      <c r="C72" s="178"/>
      <c r="D72" s="183">
        <f>TRUNC(SUM(D69:D71),2)</f>
        <v>1089.63</v>
      </c>
      <c r="E72" s="85"/>
      <c r="F72" s="85"/>
      <c r="G72" s="85"/>
    </row>
    <row r="73" spans="1:7">
      <c r="A73" s="85"/>
      <c r="B73" s="85"/>
      <c r="C73" s="85"/>
      <c r="D73" s="85"/>
      <c r="E73" s="85"/>
      <c r="F73" s="85"/>
      <c r="G73" s="85"/>
    </row>
    <row r="74" spans="1:7">
      <c r="A74" s="161" t="s">
        <v>94</v>
      </c>
      <c r="B74" s="161"/>
      <c r="C74" s="161"/>
      <c r="D74" s="161"/>
      <c r="E74" s="85"/>
      <c r="F74" s="85"/>
      <c r="G74" s="85"/>
    </row>
    <row r="75" spans="1:7">
      <c r="A75" s="178" t="s">
        <v>95</v>
      </c>
      <c r="B75" s="85" t="s">
        <v>96</v>
      </c>
      <c r="C75" s="178" t="s">
        <v>24</v>
      </c>
      <c r="D75" s="178" t="s">
        <v>5</v>
      </c>
      <c r="E75" s="85"/>
      <c r="F75" s="85"/>
      <c r="G75" s="85"/>
    </row>
    <row r="76" spans="1:7">
      <c r="A76" s="178" t="s">
        <v>28</v>
      </c>
      <c r="B76" s="85" t="s">
        <v>97</v>
      </c>
      <c r="C76" s="193">
        <f>((1/12)*5%)</f>
        <v>0.00416666666666667</v>
      </c>
      <c r="D76" s="194">
        <f t="shared" ref="D76:D79" si="1">TRUNC(($D$31*C76),2)</f>
        <v>4.68</v>
      </c>
      <c r="E76" s="85"/>
      <c r="F76" s="85"/>
      <c r="G76" s="85"/>
    </row>
    <row r="77" spans="1:7">
      <c r="A77" s="178" t="s">
        <v>31</v>
      </c>
      <c r="B77" s="85" t="s">
        <v>98</v>
      </c>
      <c r="C77" s="199">
        <v>0.08</v>
      </c>
      <c r="D77" s="198">
        <f>TRUNC(($D$76*C77),2)</f>
        <v>0.37</v>
      </c>
      <c r="E77" s="85"/>
      <c r="F77" s="85"/>
      <c r="G77" s="85"/>
    </row>
    <row r="78" ht="30" spans="1:7">
      <c r="A78" s="178" t="s">
        <v>34</v>
      </c>
      <c r="B78" s="200" t="s">
        <v>99</v>
      </c>
      <c r="C78" s="201">
        <f>(0.08*0.4*0.05)</f>
        <v>0.0016</v>
      </c>
      <c r="D78" s="194">
        <f t="shared" si="1"/>
        <v>1.79</v>
      </c>
      <c r="E78" s="85"/>
      <c r="F78" s="85"/>
      <c r="G78" s="85"/>
    </row>
    <row r="79" spans="1:7">
      <c r="A79" s="178" t="s">
        <v>36</v>
      </c>
      <c r="B79" s="85" t="s">
        <v>100</v>
      </c>
      <c r="C79" s="202">
        <f>(((7/30)/12)*0.95)</f>
        <v>0.0184722222222222</v>
      </c>
      <c r="D79" s="203">
        <f t="shared" si="1"/>
        <v>20.76</v>
      </c>
      <c r="E79" s="85"/>
      <c r="F79" s="85"/>
      <c r="G79" s="85"/>
    </row>
    <row r="80" ht="30" spans="1:7">
      <c r="A80" s="178" t="s">
        <v>39</v>
      </c>
      <c r="B80" s="200" t="s">
        <v>195</v>
      </c>
      <c r="C80" s="201">
        <f>C55</f>
        <v>0.398</v>
      </c>
      <c r="D80" s="194">
        <f>TRUNC(($D$79*C80),2)</f>
        <v>8.26</v>
      </c>
      <c r="E80" s="85"/>
      <c r="F80" s="85"/>
      <c r="G80" s="85"/>
    </row>
    <row r="81" ht="30" spans="1:7">
      <c r="A81" s="178" t="s">
        <v>41</v>
      </c>
      <c r="B81" s="200" t="s">
        <v>101</v>
      </c>
      <c r="C81" s="201">
        <f>(0.08*0.4*0.95)</f>
        <v>0.0304</v>
      </c>
      <c r="D81" s="194">
        <f>TRUNC(($D$31*C81),2)</f>
        <v>34.16</v>
      </c>
      <c r="E81" s="85"/>
      <c r="F81" s="85"/>
      <c r="G81" s="85"/>
    </row>
    <row r="82" spans="1:7">
      <c r="A82" s="178" t="s">
        <v>44</v>
      </c>
      <c r="B82" s="85"/>
      <c r="C82" s="199">
        <f>SUM(C76:C81)</f>
        <v>0.532638888888889</v>
      </c>
      <c r="D82" s="198">
        <f>TRUNC((SUM(D76:D81)),2)</f>
        <v>70.02</v>
      </c>
      <c r="E82" s="85"/>
      <c r="F82" s="85"/>
      <c r="G82" s="85"/>
    </row>
    <row r="83" ht="15.75" spans="1:7">
      <c r="A83" s="178"/>
      <c r="B83" s="85"/>
      <c r="C83" s="85"/>
      <c r="D83" s="183"/>
      <c r="E83" s="85"/>
      <c r="F83" s="85"/>
      <c r="G83" s="85"/>
    </row>
    <row r="84" ht="16.5" spans="1:7">
      <c r="A84" s="187" t="s">
        <v>196</v>
      </c>
      <c r="B84" s="187"/>
      <c r="C84" s="188" t="s">
        <v>188</v>
      </c>
      <c r="D84" s="189">
        <f>D31</f>
        <v>1124</v>
      </c>
      <c r="E84" s="85"/>
      <c r="F84" s="85"/>
      <c r="G84" s="85"/>
    </row>
    <row r="85" ht="16.5" spans="1:7">
      <c r="A85" s="187"/>
      <c r="B85" s="187"/>
      <c r="C85" s="190" t="s">
        <v>197</v>
      </c>
      <c r="D85" s="189">
        <f>D72</f>
        <v>1089.63</v>
      </c>
      <c r="E85" s="85"/>
      <c r="F85" s="85"/>
      <c r="G85" s="85"/>
    </row>
    <row r="86" ht="16.5" spans="1:7">
      <c r="A86" s="187"/>
      <c r="B86" s="187"/>
      <c r="C86" s="188" t="s">
        <v>198</v>
      </c>
      <c r="D86" s="189">
        <f>D82</f>
        <v>70.02</v>
      </c>
      <c r="E86" s="85"/>
      <c r="F86" s="85"/>
      <c r="G86" s="85"/>
    </row>
    <row r="87" ht="16.5" spans="1:7">
      <c r="A87" s="187"/>
      <c r="B87" s="187"/>
      <c r="C87" s="190" t="s">
        <v>190</v>
      </c>
      <c r="D87" s="191">
        <f>TRUNC((SUM(D84:D86)),2)</f>
        <v>2283.65</v>
      </c>
      <c r="E87" s="85"/>
      <c r="F87" s="85"/>
      <c r="G87" s="85"/>
    </row>
    <row r="88" ht="15.75" spans="1:7">
      <c r="A88" s="178"/>
      <c r="B88" s="85"/>
      <c r="C88" s="85"/>
      <c r="D88" s="183"/>
      <c r="E88" s="85"/>
      <c r="F88" s="85"/>
      <c r="G88" s="85"/>
    </row>
    <row r="89" spans="1:7">
      <c r="A89" s="204" t="s">
        <v>113</v>
      </c>
      <c r="B89" s="204"/>
      <c r="C89" s="204"/>
      <c r="D89" s="204"/>
      <c r="E89" s="85"/>
      <c r="F89" s="85"/>
      <c r="G89" s="85"/>
    </row>
    <row r="90" spans="1:7">
      <c r="A90" s="177" t="s">
        <v>114</v>
      </c>
      <c r="B90" s="177"/>
      <c r="C90" s="177"/>
      <c r="D90" s="177"/>
      <c r="E90" s="85"/>
      <c r="F90" s="85"/>
      <c r="G90" s="85"/>
    </row>
    <row r="91" spans="1:7">
      <c r="A91" s="178" t="s">
        <v>115</v>
      </c>
      <c r="B91" s="85" t="s">
        <v>116</v>
      </c>
      <c r="C91" s="178" t="s">
        <v>24</v>
      </c>
      <c r="D91" s="178" t="s">
        <v>5</v>
      </c>
      <c r="E91" s="85"/>
      <c r="F91" s="85"/>
      <c r="G91" s="85"/>
    </row>
    <row r="92" spans="1:7">
      <c r="A92" s="178" t="s">
        <v>28</v>
      </c>
      <c r="B92" s="85" t="s">
        <v>199</v>
      </c>
      <c r="C92" s="199">
        <f>(((1+1/3)/12)/12)+((1/12)/12)</f>
        <v>0.0162037037037037</v>
      </c>
      <c r="D92" s="183">
        <f t="shared" ref="D92:D96" si="2">TRUNC(($D$87*C92),2)</f>
        <v>37</v>
      </c>
      <c r="E92" s="85"/>
      <c r="F92" s="85"/>
      <c r="G92" s="85"/>
    </row>
    <row r="93" spans="1:7">
      <c r="A93" s="178" t="s">
        <v>31</v>
      </c>
      <c r="B93" s="85" t="s">
        <v>119</v>
      </c>
      <c r="C93" s="193">
        <f>((2/30)/12)</f>
        <v>0.00555555555555556</v>
      </c>
      <c r="D93" s="194">
        <f t="shared" si="2"/>
        <v>12.68</v>
      </c>
      <c r="E93" s="85"/>
      <c r="F93" s="85"/>
      <c r="G93" s="85"/>
    </row>
    <row r="94" spans="1:7">
      <c r="A94" s="178" t="s">
        <v>34</v>
      </c>
      <c r="B94" s="85" t="s">
        <v>120</v>
      </c>
      <c r="C94" s="193">
        <f>((5/30)/12)*0.02</f>
        <v>0.000277777777777778</v>
      </c>
      <c r="D94" s="194">
        <f t="shared" si="2"/>
        <v>0.63</v>
      </c>
      <c r="E94" s="85"/>
      <c r="F94" s="85"/>
      <c r="G94" s="85"/>
    </row>
    <row r="95" spans="1:7">
      <c r="A95" s="86" t="s">
        <v>36</v>
      </c>
      <c r="B95" s="200" t="s">
        <v>121</v>
      </c>
      <c r="C95" s="201">
        <f>((15/30)/12)*0.08</f>
        <v>0.00333333333333333</v>
      </c>
      <c r="D95" s="194">
        <f t="shared" si="2"/>
        <v>7.61</v>
      </c>
      <c r="E95" s="85"/>
      <c r="F95" s="85"/>
      <c r="G95" s="85"/>
    </row>
    <row r="96" spans="1:7">
      <c r="A96" s="178" t="s">
        <v>39</v>
      </c>
      <c r="B96" s="85" t="s">
        <v>122</v>
      </c>
      <c r="C96" s="193">
        <f>((1+1/3)/12)*0.03*((4/12))</f>
        <v>0.00111111111111111</v>
      </c>
      <c r="D96" s="194">
        <f t="shared" si="2"/>
        <v>2.53</v>
      </c>
      <c r="E96" s="85"/>
      <c r="F96" s="85"/>
      <c r="G96" s="85"/>
    </row>
    <row r="97" spans="1:7">
      <c r="A97" s="178" t="s">
        <v>41</v>
      </c>
      <c r="B97" s="200" t="s">
        <v>200</v>
      </c>
      <c r="C97" s="205">
        <v>0</v>
      </c>
      <c r="D97" s="194">
        <f>TRUNC($D$87*C97)</f>
        <v>0</v>
      </c>
      <c r="E97" s="85"/>
      <c r="F97" s="85"/>
      <c r="G97" s="85"/>
    </row>
    <row r="98" spans="1:7">
      <c r="A98" s="178" t="s">
        <v>44</v>
      </c>
      <c r="B98" s="85"/>
      <c r="C98" s="199">
        <f>SUM(C92:C97)</f>
        <v>0.0264814814814815</v>
      </c>
      <c r="D98" s="183">
        <f>TRUNC((SUM(D92:D97)),2)</f>
        <v>60.45</v>
      </c>
      <c r="E98" s="85"/>
      <c r="F98" s="85"/>
      <c r="G98" s="85"/>
    </row>
    <row r="99" spans="1:7">
      <c r="A99" s="178"/>
      <c r="B99" s="85"/>
      <c r="C99" s="178"/>
      <c r="D99" s="183"/>
      <c r="E99" s="85"/>
      <c r="F99" s="85"/>
      <c r="G99" s="85"/>
    </row>
    <row r="100" spans="1:7">
      <c r="A100" s="177" t="s">
        <v>130</v>
      </c>
      <c r="B100" s="177"/>
      <c r="C100" s="177"/>
      <c r="D100" s="177"/>
      <c r="E100" s="85"/>
      <c r="F100" s="85"/>
      <c r="G100" s="85"/>
    </row>
    <row r="101" spans="1:7">
      <c r="A101" s="178" t="s">
        <v>131</v>
      </c>
      <c r="B101" s="85" t="s">
        <v>132</v>
      </c>
      <c r="C101" s="178" t="s">
        <v>4</v>
      </c>
      <c r="D101" s="178" t="s">
        <v>5</v>
      </c>
      <c r="E101" s="85"/>
      <c r="F101" s="85"/>
      <c r="G101" s="85"/>
    </row>
    <row r="102" ht="90" spans="1:7">
      <c r="A102" s="86" t="s">
        <v>28</v>
      </c>
      <c r="B102" s="206" t="s">
        <v>133</v>
      </c>
      <c r="C102" s="207" t="s">
        <v>201</v>
      </c>
      <c r="D102" s="208" t="s">
        <v>202</v>
      </c>
      <c r="E102" s="85"/>
      <c r="F102" s="85"/>
      <c r="G102" s="85"/>
    </row>
    <row r="103" spans="1:7">
      <c r="A103" s="178" t="s">
        <v>44</v>
      </c>
      <c r="B103" s="85"/>
      <c r="C103" s="178"/>
      <c r="D103" s="209" t="str">
        <f>D102</f>
        <v>*=TRUNCAR(($D$86/220)*(1*(365/12))/2)</v>
      </c>
      <c r="E103" s="85"/>
      <c r="F103" s="85"/>
      <c r="G103" s="85"/>
    </row>
    <row r="104" spans="1:7">
      <c r="A104" s="85"/>
      <c r="B104" s="85"/>
      <c r="C104" s="85"/>
      <c r="D104" s="85"/>
      <c r="E104" s="85"/>
      <c r="F104" s="85"/>
      <c r="G104" s="85"/>
    </row>
    <row r="105" spans="1:7">
      <c r="A105" s="177" t="s">
        <v>134</v>
      </c>
      <c r="B105" s="177"/>
      <c r="C105" s="177"/>
      <c r="D105" s="177"/>
      <c r="E105" s="85"/>
      <c r="F105" s="85"/>
      <c r="G105" s="85"/>
    </row>
    <row r="106" spans="1:7">
      <c r="A106" s="178" t="s">
        <v>135</v>
      </c>
      <c r="B106" s="85" t="s">
        <v>136</v>
      </c>
      <c r="C106" s="178" t="s">
        <v>4</v>
      </c>
      <c r="D106" s="178" t="s">
        <v>5</v>
      </c>
      <c r="E106" s="85"/>
      <c r="F106" s="85"/>
      <c r="G106" s="85"/>
    </row>
    <row r="107" spans="1:7">
      <c r="A107" s="178" t="s">
        <v>115</v>
      </c>
      <c r="B107" s="85" t="s">
        <v>116</v>
      </c>
      <c r="C107" s="85"/>
      <c r="D107" s="180">
        <f>D98</f>
        <v>60.45</v>
      </c>
      <c r="E107" s="85"/>
      <c r="F107" s="85"/>
      <c r="G107" s="85"/>
    </row>
    <row r="108" spans="1:7">
      <c r="A108" s="178" t="s">
        <v>131</v>
      </c>
      <c r="B108" s="85" t="s">
        <v>137</v>
      </c>
      <c r="C108" s="85"/>
      <c r="D108" s="210" t="str">
        <f>Submódulo4.260_81201026597[[#Totals],[Valor]]</f>
        <v>*=TRUNCAR(($D$86/220)*(1*(365/12))/2)</v>
      </c>
      <c r="E108" s="85"/>
      <c r="F108" s="85"/>
      <c r="G108" s="85"/>
    </row>
    <row r="109" ht="60" spans="1:7">
      <c r="A109" s="86" t="s">
        <v>44</v>
      </c>
      <c r="B109" s="195"/>
      <c r="C109" s="207" t="s">
        <v>203</v>
      </c>
      <c r="D109" s="198">
        <f>TRUNC((SUM(D107:D108)),2)</f>
        <v>60.45</v>
      </c>
      <c r="E109" s="85"/>
      <c r="F109" s="85"/>
      <c r="G109" s="85"/>
    </row>
    <row r="110" spans="1:7">
      <c r="A110" s="85"/>
      <c r="B110" s="85"/>
      <c r="C110" s="85"/>
      <c r="D110" s="85"/>
      <c r="E110" s="85"/>
      <c r="F110" s="85"/>
      <c r="G110" s="85"/>
    </row>
    <row r="111" spans="1:7">
      <c r="A111" s="161" t="s">
        <v>138</v>
      </c>
      <c r="B111" s="161"/>
      <c r="C111" s="161"/>
      <c r="D111" s="161"/>
      <c r="E111" s="85"/>
      <c r="F111" s="85"/>
      <c r="G111" s="85"/>
    </row>
    <row r="112" spans="1:7">
      <c r="A112" s="178" t="s">
        <v>139</v>
      </c>
      <c r="B112" s="85" t="s">
        <v>140</v>
      </c>
      <c r="C112" s="178" t="s">
        <v>4</v>
      </c>
      <c r="D112" s="178" t="s">
        <v>5</v>
      </c>
      <c r="E112" s="85"/>
      <c r="F112" s="85"/>
      <c r="G112" s="85"/>
    </row>
    <row r="113" spans="1:7">
      <c r="A113" s="178" t="s">
        <v>28</v>
      </c>
      <c r="B113" s="85" t="s">
        <v>204</v>
      </c>
      <c r="C113" s="85"/>
      <c r="D113" s="180">
        <f>Uniformes!G163</f>
        <v>75.87</v>
      </c>
      <c r="E113" s="85"/>
      <c r="F113" s="85"/>
      <c r="G113" s="85"/>
    </row>
    <row r="114" spans="1:7">
      <c r="A114" s="178" t="s">
        <v>31</v>
      </c>
      <c r="B114" s="85" t="s">
        <v>205</v>
      </c>
      <c r="C114" s="85"/>
      <c r="D114" s="180">
        <f>EPC!E21</f>
        <v>8.97</v>
      </c>
      <c r="E114" s="85"/>
      <c r="F114" s="85"/>
      <c r="G114" s="85"/>
    </row>
    <row r="115" spans="1:7">
      <c r="A115" s="178" t="s">
        <v>34</v>
      </c>
      <c r="B115" s="85" t="s">
        <v>142</v>
      </c>
      <c r="C115" s="85"/>
      <c r="D115" s="180">
        <f>'Materiais e Equipamentos'!E93</f>
        <v>88.39</v>
      </c>
      <c r="E115" s="85"/>
      <c r="F115" s="85"/>
      <c r="G115" s="85"/>
    </row>
    <row r="116" spans="1:7">
      <c r="A116" s="178" t="s">
        <v>36</v>
      </c>
      <c r="B116" s="85" t="s">
        <v>143</v>
      </c>
      <c r="C116" s="85"/>
      <c r="D116" s="180">
        <f>'Materiais e Equipamentos'!F124</f>
        <v>20.4</v>
      </c>
      <c r="E116" s="85"/>
      <c r="F116" s="85"/>
      <c r="G116" s="85"/>
    </row>
    <row r="117" spans="1:7">
      <c r="A117" s="178" t="s">
        <v>39</v>
      </c>
      <c r="B117" s="85" t="s">
        <v>42</v>
      </c>
      <c r="C117" s="85"/>
      <c r="D117" s="180">
        <f>H116</f>
        <v>0</v>
      </c>
      <c r="E117" s="85"/>
      <c r="F117" s="85"/>
      <c r="G117" s="85"/>
    </row>
    <row r="118" spans="1:7">
      <c r="A118" s="178" t="s">
        <v>44</v>
      </c>
      <c r="B118" s="85"/>
      <c r="C118" s="85"/>
      <c r="D118" s="183">
        <f>TRUNC(SUM((D113:D117)),2)</f>
        <v>193.63</v>
      </c>
      <c r="E118" s="85"/>
      <c r="F118" s="85"/>
      <c r="G118" s="85"/>
    </row>
    <row r="119" ht="15.75" spans="1:7">
      <c r="A119" s="85"/>
      <c r="B119" s="85"/>
      <c r="C119" s="85"/>
      <c r="D119" s="85"/>
      <c r="E119" s="85"/>
      <c r="F119" s="85"/>
      <c r="G119" s="85"/>
    </row>
    <row r="120" ht="16.5" spans="1:7">
      <c r="A120" s="187" t="s">
        <v>207</v>
      </c>
      <c r="B120" s="187"/>
      <c r="C120" s="188" t="s">
        <v>188</v>
      </c>
      <c r="D120" s="189">
        <f>D31</f>
        <v>1124</v>
      </c>
      <c r="E120" s="85"/>
      <c r="F120" s="85"/>
      <c r="G120" s="85"/>
    </row>
    <row r="121" ht="16.5" spans="1:7">
      <c r="A121" s="187"/>
      <c r="B121" s="187"/>
      <c r="C121" s="190" t="s">
        <v>197</v>
      </c>
      <c r="D121" s="189">
        <f>D72</f>
        <v>1089.63</v>
      </c>
      <c r="E121" s="85"/>
      <c r="F121" s="85"/>
      <c r="G121" s="85"/>
    </row>
    <row r="122" ht="16.5" spans="1:7">
      <c r="A122" s="187"/>
      <c r="B122" s="187"/>
      <c r="C122" s="188" t="s">
        <v>198</v>
      </c>
      <c r="D122" s="189">
        <f>D82</f>
        <v>70.02</v>
      </c>
      <c r="E122" s="85"/>
      <c r="F122" s="85"/>
      <c r="G122" s="85"/>
    </row>
    <row r="123" ht="16.5" spans="1:7">
      <c r="A123" s="187"/>
      <c r="B123" s="187"/>
      <c r="C123" s="190" t="s">
        <v>208</v>
      </c>
      <c r="D123" s="189">
        <f>D109</f>
        <v>60.45</v>
      </c>
      <c r="E123" s="85"/>
      <c r="F123" s="85"/>
      <c r="G123" s="85"/>
    </row>
    <row r="124" ht="16.5" spans="1:7">
      <c r="A124" s="187"/>
      <c r="B124" s="187"/>
      <c r="C124" s="188" t="s">
        <v>209</v>
      </c>
      <c r="D124" s="189">
        <f>D118</f>
        <v>193.63</v>
      </c>
      <c r="E124" s="85"/>
      <c r="F124" s="85"/>
      <c r="G124" s="85"/>
    </row>
    <row r="125" ht="16.5" spans="1:7">
      <c r="A125" s="187"/>
      <c r="B125" s="187"/>
      <c r="C125" s="190" t="s">
        <v>190</v>
      </c>
      <c r="D125" s="191">
        <f>TRUNC((SUM(D120:D124)),2)</f>
        <v>2537.73</v>
      </c>
      <c r="E125" s="85"/>
      <c r="F125" s="85"/>
      <c r="G125" s="85"/>
    </row>
    <row r="126" ht="15.75" spans="1:7">
      <c r="A126" s="85"/>
      <c r="B126" s="85"/>
      <c r="C126" s="85"/>
      <c r="D126" s="85"/>
      <c r="E126" s="85"/>
      <c r="F126" s="85"/>
      <c r="G126" s="85"/>
    </row>
    <row r="127" spans="1:7">
      <c r="A127" s="161" t="s">
        <v>150</v>
      </c>
      <c r="B127" s="161"/>
      <c r="C127" s="161"/>
      <c r="D127" s="161"/>
      <c r="E127" s="85"/>
      <c r="F127" s="85"/>
      <c r="G127" s="85"/>
    </row>
    <row r="128" ht="15.75" spans="1:7">
      <c r="A128" s="178" t="s">
        <v>151</v>
      </c>
      <c r="B128" s="85" t="s">
        <v>152</v>
      </c>
      <c r="C128" s="178" t="s">
        <v>24</v>
      </c>
      <c r="D128" s="178" t="s">
        <v>5</v>
      </c>
      <c r="E128" s="85"/>
      <c r="F128" s="211" t="s">
        <v>210</v>
      </c>
      <c r="G128" s="211"/>
    </row>
    <row r="129" ht="15.75" spans="1:7">
      <c r="A129" s="178" t="s">
        <v>28</v>
      </c>
      <c r="B129" s="85" t="s">
        <v>153</v>
      </c>
      <c r="C129" s="193">
        <v>0.044</v>
      </c>
      <c r="D129" s="180">
        <f>TRUNC(($D$125*C129),2)</f>
        <v>111.66</v>
      </c>
      <c r="E129" s="85"/>
      <c r="F129" s="212" t="s">
        <v>211</v>
      </c>
      <c r="G129" s="201">
        <f>C131</f>
        <v>0.0865</v>
      </c>
    </row>
    <row r="130" ht="15.75" spans="1:7">
      <c r="A130" s="178" t="s">
        <v>31</v>
      </c>
      <c r="B130" s="85" t="s">
        <v>45</v>
      </c>
      <c r="C130" s="193">
        <v>0.0413</v>
      </c>
      <c r="D130" s="180">
        <f>TRUNC((C130*(D125+D129)),2)</f>
        <v>109.41</v>
      </c>
      <c r="E130" s="85"/>
      <c r="F130" s="213" t="s">
        <v>212</v>
      </c>
      <c r="G130" s="214">
        <f>TRUNC(SUM(D125,D129,D130),2)</f>
        <v>2758.8</v>
      </c>
    </row>
    <row r="131" ht="15.75" spans="1:7">
      <c r="A131" s="178" t="s">
        <v>34</v>
      </c>
      <c r="B131" s="85" t="s">
        <v>154</v>
      </c>
      <c r="C131" s="193">
        <f>SUM(C132:C134)</f>
        <v>0.0865</v>
      </c>
      <c r="D131" s="180">
        <f>TRUNC((SUM(D132:D134)),2)</f>
        <v>261.23</v>
      </c>
      <c r="E131" s="85"/>
      <c r="F131" s="212" t="s">
        <v>213</v>
      </c>
      <c r="G131" s="215">
        <f>(100-8.65)/100</f>
        <v>0.9135</v>
      </c>
    </row>
    <row r="132" ht="15.75" spans="1:7">
      <c r="A132" s="178"/>
      <c r="B132" s="85" t="s">
        <v>214</v>
      </c>
      <c r="C132" s="193">
        <v>0.0065</v>
      </c>
      <c r="D132" s="180">
        <f t="shared" ref="D132:D134" si="3">TRUNC(($G$132*C132),2)</f>
        <v>19.63</v>
      </c>
      <c r="E132" s="85"/>
      <c r="F132" s="213" t="s">
        <v>210</v>
      </c>
      <c r="G132" s="214">
        <f>TRUNC((G130/G131),2)</f>
        <v>3020.03</v>
      </c>
    </row>
    <row r="133" ht="15.75" spans="1:7">
      <c r="A133" s="178"/>
      <c r="B133" s="85" t="s">
        <v>215</v>
      </c>
      <c r="C133" s="193">
        <v>0.03</v>
      </c>
      <c r="D133" s="180">
        <f t="shared" si="3"/>
        <v>90.6</v>
      </c>
      <c r="E133" s="85"/>
      <c r="F133" s="85"/>
      <c r="G133" s="85"/>
    </row>
    <row r="134" spans="1:7">
      <c r="A134" s="178"/>
      <c r="B134" s="85" t="s">
        <v>216</v>
      </c>
      <c r="C134" s="193">
        <v>0.05</v>
      </c>
      <c r="D134" s="180">
        <f t="shared" si="3"/>
        <v>151</v>
      </c>
      <c r="E134" s="85"/>
      <c r="F134" s="85"/>
      <c r="G134" s="85"/>
    </row>
    <row r="135" spans="1:7">
      <c r="A135" s="178" t="s">
        <v>44</v>
      </c>
      <c r="B135" s="85"/>
      <c r="C135" s="178"/>
      <c r="D135" s="183">
        <f>TRUNC(SUM(D129:D131),2)</f>
        <v>482.3</v>
      </c>
      <c r="E135" s="85"/>
      <c r="F135" s="85"/>
      <c r="G135" s="85"/>
    </row>
    <row r="136" spans="1:7">
      <c r="A136" s="178"/>
      <c r="B136" s="85"/>
      <c r="C136" s="178"/>
      <c r="D136" s="183"/>
      <c r="E136" s="85"/>
      <c r="F136" s="85"/>
      <c r="G136" s="85"/>
    </row>
    <row r="137" spans="1:7">
      <c r="A137" s="85"/>
      <c r="B137" s="85"/>
      <c r="C137" s="85"/>
      <c r="D137" s="85"/>
      <c r="E137" s="85"/>
      <c r="F137" s="85"/>
      <c r="G137" s="85"/>
    </row>
    <row r="138" spans="1:7">
      <c r="A138" s="161" t="s">
        <v>158</v>
      </c>
      <c r="B138" s="161"/>
      <c r="C138" s="161"/>
      <c r="D138" s="161"/>
      <c r="E138" s="85"/>
      <c r="F138" s="85"/>
      <c r="G138" s="85"/>
    </row>
    <row r="139" spans="1:7">
      <c r="A139" s="178" t="s">
        <v>2</v>
      </c>
      <c r="B139" s="178" t="s">
        <v>159</v>
      </c>
      <c r="C139" s="178" t="s">
        <v>88</v>
      </c>
      <c r="D139" s="178" t="s">
        <v>5</v>
      </c>
      <c r="E139" s="85"/>
      <c r="F139" s="85"/>
      <c r="G139" s="85"/>
    </row>
    <row r="140" spans="1:7">
      <c r="A140" s="178" t="s">
        <v>28</v>
      </c>
      <c r="B140" s="85" t="s">
        <v>22</v>
      </c>
      <c r="C140" s="85"/>
      <c r="D140" s="183">
        <f>D31</f>
        <v>1124</v>
      </c>
      <c r="E140" s="85"/>
      <c r="F140" s="85"/>
      <c r="G140" s="85"/>
    </row>
    <row r="141" spans="1:7">
      <c r="A141" s="178" t="s">
        <v>31</v>
      </c>
      <c r="B141" s="85" t="s">
        <v>47</v>
      </c>
      <c r="C141" s="85"/>
      <c r="D141" s="183">
        <f>D72</f>
        <v>1089.63</v>
      </c>
      <c r="E141" s="85"/>
      <c r="F141" s="85"/>
      <c r="G141" s="85"/>
    </row>
    <row r="142" spans="1:7">
      <c r="A142" s="178" t="s">
        <v>34</v>
      </c>
      <c r="B142" s="85" t="s">
        <v>94</v>
      </c>
      <c r="C142" s="85"/>
      <c r="D142" s="183">
        <f>D82</f>
        <v>70.02</v>
      </c>
      <c r="E142" s="85"/>
      <c r="F142" s="85"/>
      <c r="G142" s="85"/>
    </row>
    <row r="143" spans="1:7">
      <c r="A143" s="178" t="s">
        <v>36</v>
      </c>
      <c r="B143" s="85" t="s">
        <v>160</v>
      </c>
      <c r="C143" s="85"/>
      <c r="D143" s="183">
        <f>D109</f>
        <v>60.45</v>
      </c>
      <c r="E143" s="85"/>
      <c r="F143" s="85"/>
      <c r="G143" s="85"/>
    </row>
    <row r="144" spans="1:7">
      <c r="A144" s="178" t="s">
        <v>39</v>
      </c>
      <c r="B144" s="85" t="s">
        <v>138</v>
      </c>
      <c r="C144" s="85"/>
      <c r="D144" s="183">
        <f>D118</f>
        <v>193.63</v>
      </c>
      <c r="E144" s="85"/>
      <c r="F144" s="85"/>
      <c r="G144" s="85"/>
    </row>
    <row r="145" spans="1:7">
      <c r="A145" s="85"/>
      <c r="B145" s="216" t="s">
        <v>161</v>
      </c>
      <c r="C145" s="85"/>
      <c r="D145" s="183">
        <f>TRUNC(SUM(D140:D144),2)</f>
        <v>2537.73</v>
      </c>
      <c r="E145" s="85"/>
      <c r="F145" s="85"/>
      <c r="G145" s="85"/>
    </row>
    <row r="146" spans="1:7">
      <c r="A146" s="178" t="s">
        <v>41</v>
      </c>
      <c r="B146" s="85" t="s">
        <v>150</v>
      </c>
      <c r="C146" s="85"/>
      <c r="D146" s="183">
        <f>D135</f>
        <v>482.3</v>
      </c>
      <c r="E146" s="85"/>
      <c r="F146" s="85"/>
      <c r="G146" s="85"/>
    </row>
    <row r="147" spans="1:7">
      <c r="A147" s="217"/>
      <c r="B147" s="218" t="s">
        <v>217</v>
      </c>
      <c r="C147" s="217"/>
      <c r="D147" s="219">
        <f>TRUNC((SUM(D140:D144)+D146),2)</f>
        <v>3020.03</v>
      </c>
      <c r="E147" s="85"/>
      <c r="F147" s="85"/>
      <c r="G147" s="85"/>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4"/>
  <sheetViews>
    <sheetView tabSelected="1" workbookViewId="0">
      <selection activeCell="B1" sqref="B1:E26"/>
    </sheetView>
  </sheetViews>
  <sheetFormatPr defaultColWidth="8.88571428571429" defaultRowHeight="15"/>
  <cols>
    <col min="2" max="2" width="36.3333333333333" customWidth="1"/>
    <col min="3" max="3" width="24.1142857142857" customWidth="1"/>
    <col min="4" max="4" width="13" customWidth="1"/>
    <col min="5" max="5" width="30.6666666666667" customWidth="1"/>
    <col min="9" max="9" width="22.552380952381" customWidth="1"/>
    <col min="10" max="10" width="17.7809523809524" customWidth="1"/>
  </cols>
  <sheetData>
    <row r="1" ht="16.5" spans="2:10">
      <c r="B1" s="96" t="s">
        <v>252</v>
      </c>
      <c r="C1" s="97"/>
      <c r="D1" s="97"/>
      <c r="E1" s="98"/>
      <c r="F1" s="8"/>
      <c r="G1" s="8"/>
      <c r="H1" s="8"/>
      <c r="I1" s="8"/>
      <c r="J1" s="8"/>
    </row>
    <row r="2" ht="33" spans="2:10">
      <c r="B2" s="99" t="s">
        <v>253</v>
      </c>
      <c r="C2" s="100" t="s">
        <v>243</v>
      </c>
      <c r="D2" s="101" t="s">
        <v>254</v>
      </c>
      <c r="E2" s="102"/>
      <c r="F2" s="8"/>
      <c r="G2" s="8"/>
      <c r="H2" s="8"/>
      <c r="I2" s="8"/>
      <c r="J2" s="8"/>
    </row>
    <row r="3" ht="17.25" spans="2:10">
      <c r="B3" s="103" t="s">
        <v>255</v>
      </c>
      <c r="C3" s="104" t="s">
        <v>256</v>
      </c>
      <c r="D3" s="105" t="s">
        <v>257</v>
      </c>
      <c r="E3" s="106"/>
      <c r="F3" s="8"/>
      <c r="G3" s="8"/>
      <c r="H3" s="8"/>
      <c r="I3" s="8"/>
      <c r="J3" s="8"/>
    </row>
    <row r="4" ht="17.25" spans="2:10">
      <c r="B4" s="107">
        <f>RESUMO!D11</f>
        <v>360</v>
      </c>
      <c r="C4" s="108">
        <f>E21</f>
        <v>190.08</v>
      </c>
      <c r="D4" s="109">
        <f>TRUNC((B4*C4),2)</f>
        <v>68428.8</v>
      </c>
      <c r="E4" s="110"/>
      <c r="F4" s="8"/>
      <c r="G4" s="8"/>
      <c r="H4" s="111"/>
      <c r="I4" s="111"/>
      <c r="J4" s="111"/>
    </row>
    <row r="5" ht="17.25" spans="2:10">
      <c r="B5" s="112"/>
      <c r="C5" s="113"/>
      <c r="D5" s="113"/>
      <c r="E5" s="114"/>
      <c r="F5" s="8"/>
      <c r="G5" s="8"/>
      <c r="H5" s="111"/>
      <c r="I5" s="147" t="s">
        <v>210</v>
      </c>
      <c r="J5" s="148"/>
    </row>
    <row r="6" ht="17.25" spans="2:10">
      <c r="B6" s="112"/>
      <c r="C6" s="113"/>
      <c r="D6" s="113"/>
      <c r="E6" s="114"/>
      <c r="F6" s="8"/>
      <c r="G6" s="8"/>
      <c r="H6" s="111"/>
      <c r="I6" s="149" t="s">
        <v>211</v>
      </c>
      <c r="J6" s="150">
        <f>D20</f>
        <v>0.0865</v>
      </c>
    </row>
    <row r="7" ht="16.5" spans="2:10">
      <c r="B7" s="96" t="s">
        <v>258</v>
      </c>
      <c r="C7" s="97"/>
      <c r="D7" s="97"/>
      <c r="E7" s="98"/>
      <c r="F7" s="8"/>
      <c r="G7" s="8"/>
      <c r="H7" s="111"/>
      <c r="I7" s="151" t="s">
        <v>259</v>
      </c>
      <c r="J7" s="152">
        <f>E15</f>
        <v>173.64</v>
      </c>
    </row>
    <row r="8" ht="17.25" spans="2:10">
      <c r="B8" s="100" t="str">
        <f>B1</f>
        <v>DIÁRIAS - MOTORISTA(S)</v>
      </c>
      <c r="C8" s="100"/>
      <c r="D8" s="100"/>
      <c r="E8" s="115">
        <v>160</v>
      </c>
      <c r="F8" s="8"/>
      <c r="G8" s="8"/>
      <c r="H8" s="111"/>
      <c r="I8" s="149" t="s">
        <v>260</v>
      </c>
      <c r="J8" s="153">
        <f>(1-J6)</f>
        <v>0.9135</v>
      </c>
    </row>
    <row r="9" ht="17.25" spans="2:10">
      <c r="B9" s="8"/>
      <c r="C9" s="111"/>
      <c r="D9" s="116"/>
      <c r="E9" s="116"/>
      <c r="F9" s="8"/>
      <c r="G9" s="8"/>
      <c r="H9" s="111"/>
      <c r="I9" s="116"/>
      <c r="J9" s="116"/>
    </row>
    <row r="10" ht="16.5" spans="2:10">
      <c r="B10" s="96" t="s">
        <v>252</v>
      </c>
      <c r="C10" s="97"/>
      <c r="D10" s="97"/>
      <c r="E10" s="98"/>
      <c r="F10" s="8"/>
      <c r="G10" s="8"/>
      <c r="H10" s="111"/>
      <c r="I10" s="116"/>
      <c r="J10" s="116"/>
    </row>
    <row r="11" ht="16.5" spans="2:10">
      <c r="B11" s="117" t="s">
        <v>261</v>
      </c>
      <c r="C11" s="118"/>
      <c r="D11" s="119" t="s">
        <v>262</v>
      </c>
      <c r="E11" s="120" t="s">
        <v>263</v>
      </c>
      <c r="F11" s="8"/>
      <c r="G11" s="8"/>
      <c r="H11" s="111"/>
      <c r="I11" s="116"/>
      <c r="J11" s="116"/>
    </row>
    <row r="12" ht="15.75" spans="2:10">
      <c r="B12" s="121" t="s">
        <v>264</v>
      </c>
      <c r="C12" s="122"/>
      <c r="D12" s="123">
        <f>'Motorista Interestadual'!C129</f>
        <v>0.044</v>
      </c>
      <c r="E12" s="124">
        <f>TRUNC((E8*D12),2)</f>
        <v>7.04</v>
      </c>
      <c r="F12" s="8"/>
      <c r="G12" s="8"/>
      <c r="H12" s="111"/>
      <c r="I12" s="116"/>
      <c r="J12" s="116"/>
    </row>
    <row r="13" ht="16.5" spans="2:10">
      <c r="B13" s="125" t="s">
        <v>265</v>
      </c>
      <c r="C13" s="126"/>
      <c r="D13" s="123">
        <f>'Motorista Interestadual'!C130</f>
        <v>0.0413</v>
      </c>
      <c r="E13" s="124">
        <f>TRUNC((E8*D13),2)</f>
        <v>6.6</v>
      </c>
      <c r="F13" s="8"/>
      <c r="G13" s="8"/>
      <c r="H13" s="111"/>
      <c r="I13" s="111"/>
      <c r="J13" s="111"/>
    </row>
    <row r="14" ht="17.25" spans="2:10">
      <c r="B14" s="127" t="s">
        <v>266</v>
      </c>
      <c r="C14" s="101"/>
      <c r="D14" s="102"/>
      <c r="E14" s="128">
        <f>TRUNC((SUM(E12:E13)),2)</f>
        <v>13.64</v>
      </c>
      <c r="F14" s="8"/>
      <c r="G14" s="8"/>
      <c r="H14" s="111"/>
      <c r="I14" s="111"/>
      <c r="J14" s="111"/>
    </row>
    <row r="15" ht="17.25" spans="2:10">
      <c r="B15" s="129" t="s">
        <v>190</v>
      </c>
      <c r="C15" s="130"/>
      <c r="D15" s="131"/>
      <c r="E15" s="128">
        <f>TRUNC((E8+E14),2)</f>
        <v>173.64</v>
      </c>
      <c r="F15" s="8"/>
      <c r="G15" s="8"/>
      <c r="H15" s="111"/>
      <c r="I15" s="111"/>
      <c r="J15" s="111"/>
    </row>
    <row r="16" ht="16.5" spans="2:10">
      <c r="B16" s="132" t="s">
        <v>267</v>
      </c>
      <c r="C16" s="133"/>
      <c r="D16" s="134" t="s">
        <v>262</v>
      </c>
      <c r="E16" s="135" t="s">
        <v>268</v>
      </c>
      <c r="F16" s="8"/>
      <c r="G16" s="8"/>
      <c r="H16" s="8"/>
      <c r="I16" s="111"/>
      <c r="J16" s="111"/>
    </row>
    <row r="17" ht="15.75" spans="2:10">
      <c r="B17" s="121" t="s">
        <v>46</v>
      </c>
      <c r="C17" s="122"/>
      <c r="D17" s="123">
        <f>'Motorista Interestadual'!C132</f>
        <v>0.0065</v>
      </c>
      <c r="E17" s="124">
        <f>(J7/J8)*(D17)</f>
        <v>1.23553366174056</v>
      </c>
      <c r="F17" s="8"/>
      <c r="G17" s="8"/>
      <c r="H17" s="8"/>
      <c r="I17" s="111"/>
      <c r="J17" s="111"/>
    </row>
    <row r="18" ht="15.75" spans="2:10">
      <c r="B18" s="125" t="s">
        <v>48</v>
      </c>
      <c r="C18" s="126"/>
      <c r="D18" s="123">
        <f>'Motorista Interestadual'!C133</f>
        <v>0.03</v>
      </c>
      <c r="E18" s="124">
        <f>(J7/J8)*(D18)</f>
        <v>5.70246305418719</v>
      </c>
      <c r="F18" s="8"/>
      <c r="G18" s="8"/>
      <c r="H18" s="8"/>
      <c r="I18" s="111"/>
      <c r="J18" s="111"/>
    </row>
    <row r="19" ht="15.75" spans="2:10">
      <c r="B19" s="121" t="s">
        <v>50</v>
      </c>
      <c r="C19" s="122"/>
      <c r="D19" s="123">
        <f>'Motorista Interestadual'!C134</f>
        <v>0.05</v>
      </c>
      <c r="E19" s="136">
        <f>(E15/J8)*(D19)</f>
        <v>9.50410509031199</v>
      </c>
      <c r="F19" s="8"/>
      <c r="G19" s="8"/>
      <c r="H19" s="8"/>
      <c r="I19" s="111"/>
      <c r="J19" s="111"/>
    </row>
    <row r="20" ht="16.5" spans="2:10">
      <c r="B20" s="137" t="s">
        <v>211</v>
      </c>
      <c r="C20" s="138"/>
      <c r="D20" s="139">
        <f>SUM(D17:D19)</f>
        <v>0.0865</v>
      </c>
      <c r="E20" s="140">
        <f>SUM(E17:E19)</f>
        <v>16.4421018062397</v>
      </c>
      <c r="F20" s="8"/>
      <c r="G20" s="8"/>
      <c r="H20" s="8"/>
      <c r="I20" s="111"/>
      <c r="J20" s="111"/>
    </row>
    <row r="21" ht="17.25" spans="2:10">
      <c r="B21" s="141" t="s">
        <v>190</v>
      </c>
      <c r="C21" s="142"/>
      <c r="D21" s="143"/>
      <c r="E21" s="144">
        <f>TRUNC((E15+E20),2)</f>
        <v>190.08</v>
      </c>
      <c r="F21" s="8"/>
      <c r="G21" s="8"/>
      <c r="H21" s="8"/>
      <c r="I21" s="8"/>
      <c r="J21" s="8"/>
    </row>
    <row r="22" ht="15.75" spans="2:10">
      <c r="B22" s="145"/>
      <c r="C22" s="145"/>
      <c r="D22" s="145"/>
      <c r="E22" s="145"/>
      <c r="F22" s="8"/>
      <c r="G22" s="8"/>
      <c r="H22" s="8"/>
      <c r="I22" s="8"/>
      <c r="J22" s="8"/>
    </row>
    <row r="23" spans="2:10">
      <c r="B23" s="146" t="s">
        <v>269</v>
      </c>
      <c r="C23" s="146"/>
      <c r="D23" s="146"/>
      <c r="E23" s="146"/>
      <c r="F23" s="8"/>
      <c r="G23" s="8"/>
      <c r="H23" s="8"/>
      <c r="I23" s="8"/>
      <c r="J23" s="8"/>
    </row>
    <row r="24" spans="2:10">
      <c r="B24" s="146" t="s">
        <v>270</v>
      </c>
      <c r="C24" s="146"/>
      <c r="D24" s="146"/>
      <c r="E24" s="146"/>
      <c r="F24" s="8"/>
      <c r="G24" s="8"/>
      <c r="H24" s="8"/>
      <c r="I24" s="8"/>
      <c r="J24" s="8"/>
    </row>
  </sheetData>
  <mergeCells count="21">
    <mergeCell ref="B1:E1"/>
    <mergeCell ref="D2:E2"/>
    <mergeCell ref="D3:E3"/>
    <mergeCell ref="D4:E4"/>
    <mergeCell ref="I5:J5"/>
    <mergeCell ref="B7:E7"/>
    <mergeCell ref="B8:D8"/>
    <mergeCell ref="B10:E10"/>
    <mergeCell ref="B11:C11"/>
    <mergeCell ref="B12:C12"/>
    <mergeCell ref="B13:C13"/>
    <mergeCell ref="B14:D14"/>
    <mergeCell ref="B15:D15"/>
    <mergeCell ref="B16:C16"/>
    <mergeCell ref="B17:C17"/>
    <mergeCell ref="B18:C18"/>
    <mergeCell ref="B19:C19"/>
    <mergeCell ref="B20:C20"/>
    <mergeCell ref="B21:D21"/>
    <mergeCell ref="B23:E23"/>
    <mergeCell ref="B24:E24"/>
  </mergeCells>
  <pageMargins left="0.75" right="0.75" top="1" bottom="1" header="0.5" footer="0.5"/>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86"/>
  <sheetViews>
    <sheetView zoomScale="90" zoomScaleNormal="90" topLeftCell="A156" workbookViewId="0">
      <selection activeCell="L111" sqref="L111"/>
    </sheetView>
  </sheetViews>
  <sheetFormatPr defaultColWidth="9.14285714285714" defaultRowHeight="15"/>
  <cols>
    <col min="2" max="2" width="13.1619047619048" style="69" customWidth="1"/>
    <col min="3" max="3" width="39.3619047619048" customWidth="1"/>
    <col min="4" max="4" width="9" style="70" customWidth="1"/>
    <col min="5" max="5" width="9.71428571428571" customWidth="1"/>
    <col min="6" max="6" width="12.6952380952381" customWidth="1"/>
    <col min="7" max="7" width="12.2857142857143" customWidth="1"/>
    <col min="8" max="8" width="13.3333333333333" customWidth="1"/>
  </cols>
  <sheetData>
    <row r="1" spans="1:8">
      <c r="A1" s="71" t="s">
        <v>271</v>
      </c>
      <c r="B1" s="72"/>
      <c r="C1" s="71"/>
      <c r="D1" s="73"/>
      <c r="E1" s="71"/>
      <c r="F1" s="71"/>
      <c r="G1" s="71"/>
      <c r="H1" s="71"/>
    </row>
    <row r="2" spans="1:8">
      <c r="A2" s="74" t="s">
        <v>272</v>
      </c>
      <c r="B2" s="75"/>
      <c r="C2" s="74"/>
      <c r="D2" s="76"/>
      <c r="E2" s="74"/>
      <c r="F2" s="74"/>
      <c r="G2" s="74"/>
      <c r="H2" s="74"/>
    </row>
    <row r="3" ht="60" spans="1:8">
      <c r="A3" s="77" t="s">
        <v>273</v>
      </c>
      <c r="B3" s="77" t="s">
        <v>274</v>
      </c>
      <c r="C3" s="77" t="s">
        <v>275</v>
      </c>
      <c r="D3" s="77" t="s">
        <v>276</v>
      </c>
      <c r="E3" s="77" t="s">
        <v>277</v>
      </c>
      <c r="F3" s="77" t="s">
        <v>278</v>
      </c>
      <c r="G3" s="77" t="s">
        <v>279</v>
      </c>
      <c r="H3" s="77" t="s">
        <v>280</v>
      </c>
    </row>
    <row r="4" ht="30" spans="1:8">
      <c r="A4" s="78">
        <v>1</v>
      </c>
      <c r="B4" s="16" t="s">
        <v>281</v>
      </c>
      <c r="C4" s="79" t="s">
        <v>282</v>
      </c>
      <c r="D4" s="16" t="s">
        <v>283</v>
      </c>
      <c r="E4" s="80">
        <v>62.9</v>
      </c>
      <c r="F4" s="16">
        <v>4</v>
      </c>
      <c r="G4" s="81">
        <f t="shared" ref="G4:G10" si="0">TRUNC(F4*E4,2)</f>
        <v>251.6</v>
      </c>
      <c r="H4" s="81">
        <f t="shared" ref="H4:H10" si="1">TRUNC(G4/12,2)</f>
        <v>20.96</v>
      </c>
    </row>
    <row r="5" ht="45" spans="1:8">
      <c r="A5" s="78">
        <v>2</v>
      </c>
      <c r="B5" s="16" t="s">
        <v>284</v>
      </c>
      <c r="C5" s="79" t="s">
        <v>285</v>
      </c>
      <c r="D5" s="16" t="s">
        <v>283</v>
      </c>
      <c r="E5" s="80">
        <v>145</v>
      </c>
      <c r="F5" s="16">
        <v>2</v>
      </c>
      <c r="G5" s="81">
        <f t="shared" si="0"/>
        <v>290</v>
      </c>
      <c r="H5" s="81">
        <f t="shared" si="1"/>
        <v>24.16</v>
      </c>
    </row>
    <row r="6" ht="60" spans="1:8">
      <c r="A6" s="78">
        <v>3</v>
      </c>
      <c r="B6" s="16" t="s">
        <v>286</v>
      </c>
      <c r="C6" s="79" t="s">
        <v>287</v>
      </c>
      <c r="D6" s="16" t="s">
        <v>283</v>
      </c>
      <c r="E6" s="80">
        <v>66.98</v>
      </c>
      <c r="F6" s="16">
        <v>4</v>
      </c>
      <c r="G6" s="81">
        <f t="shared" si="0"/>
        <v>267.92</v>
      </c>
      <c r="H6" s="81">
        <f t="shared" si="1"/>
        <v>22.32</v>
      </c>
    </row>
    <row r="7" ht="60" spans="1:8">
      <c r="A7" s="78">
        <v>4</v>
      </c>
      <c r="B7" s="16" t="s">
        <v>286</v>
      </c>
      <c r="C7" s="79" t="s">
        <v>288</v>
      </c>
      <c r="D7" s="16" t="s">
        <v>283</v>
      </c>
      <c r="E7" s="80">
        <v>24.99</v>
      </c>
      <c r="F7" s="16">
        <v>4</v>
      </c>
      <c r="G7" s="81">
        <f t="shared" si="0"/>
        <v>99.96</v>
      </c>
      <c r="H7" s="81">
        <f t="shared" si="1"/>
        <v>8.33</v>
      </c>
    </row>
    <row r="8" ht="30" spans="1:8">
      <c r="A8" s="78">
        <v>5</v>
      </c>
      <c r="B8" s="16" t="s">
        <v>289</v>
      </c>
      <c r="C8" s="79" t="s">
        <v>290</v>
      </c>
      <c r="D8" s="16" t="s">
        <v>291</v>
      </c>
      <c r="E8" s="80">
        <v>79.29</v>
      </c>
      <c r="F8" s="16">
        <v>2</v>
      </c>
      <c r="G8" s="81">
        <f t="shared" si="0"/>
        <v>158.58</v>
      </c>
      <c r="H8" s="81">
        <f t="shared" si="1"/>
        <v>13.21</v>
      </c>
    </row>
    <row r="9" ht="45" spans="1:8">
      <c r="A9" s="78">
        <v>6</v>
      </c>
      <c r="B9" s="16" t="s">
        <v>292</v>
      </c>
      <c r="C9" s="79" t="s">
        <v>293</v>
      </c>
      <c r="D9" s="16" t="s">
        <v>291</v>
      </c>
      <c r="E9" s="80">
        <v>8.82</v>
      </c>
      <c r="F9" s="16">
        <v>4</v>
      </c>
      <c r="G9" s="81">
        <f t="shared" si="0"/>
        <v>35.28</v>
      </c>
      <c r="H9" s="81">
        <f t="shared" si="1"/>
        <v>2.94</v>
      </c>
    </row>
    <row r="10" ht="45" spans="1:8">
      <c r="A10" s="78">
        <v>7</v>
      </c>
      <c r="B10" s="16" t="s">
        <v>294</v>
      </c>
      <c r="C10" s="79" t="s">
        <v>295</v>
      </c>
      <c r="D10" s="16" t="s">
        <v>283</v>
      </c>
      <c r="E10" s="80">
        <v>5.8</v>
      </c>
      <c r="F10" s="16">
        <v>1</v>
      </c>
      <c r="G10" s="81">
        <f t="shared" si="0"/>
        <v>5.8</v>
      </c>
      <c r="H10" s="81">
        <f t="shared" si="1"/>
        <v>0.48</v>
      </c>
    </row>
    <row r="11" spans="1:8">
      <c r="A11" s="18" t="s">
        <v>190</v>
      </c>
      <c r="B11" s="18"/>
      <c r="C11" s="18"/>
      <c r="D11" s="18"/>
      <c r="E11" s="18"/>
      <c r="F11" s="18"/>
      <c r="G11" s="19">
        <f>TRUNC(SUM(H4:H10),2)</f>
        <v>92.4</v>
      </c>
      <c r="H11" s="19"/>
    </row>
    <row r="14" spans="1:8">
      <c r="A14" s="71" t="s">
        <v>271</v>
      </c>
      <c r="B14" s="72"/>
      <c r="C14" s="71"/>
      <c r="D14" s="73"/>
      <c r="E14" s="71"/>
      <c r="F14" s="71"/>
      <c r="G14" s="71"/>
      <c r="H14" s="71"/>
    </row>
    <row r="15" spans="1:8">
      <c r="A15" s="74" t="s">
        <v>296</v>
      </c>
      <c r="B15" s="75"/>
      <c r="C15" s="74"/>
      <c r="D15" s="76"/>
      <c r="E15" s="74"/>
      <c r="F15" s="74"/>
      <c r="G15" s="74"/>
      <c r="H15" s="74"/>
    </row>
    <row r="16" ht="60" spans="1:8">
      <c r="A16" s="77" t="s">
        <v>273</v>
      </c>
      <c r="B16" s="77" t="s">
        <v>274</v>
      </c>
      <c r="C16" s="77" t="s">
        <v>275</v>
      </c>
      <c r="D16" s="77" t="s">
        <v>276</v>
      </c>
      <c r="E16" s="77" t="s">
        <v>277</v>
      </c>
      <c r="F16" s="77" t="s">
        <v>278</v>
      </c>
      <c r="G16" s="77" t="s">
        <v>279</v>
      </c>
      <c r="H16" s="77" t="s">
        <v>280</v>
      </c>
    </row>
    <row r="17" ht="30" spans="1:8">
      <c r="A17" s="78">
        <v>1</v>
      </c>
      <c r="B17" s="16" t="s">
        <v>281</v>
      </c>
      <c r="C17" s="79" t="s">
        <v>282</v>
      </c>
      <c r="D17" s="16" t="s">
        <v>283</v>
      </c>
      <c r="E17" s="80">
        <v>62.9</v>
      </c>
      <c r="F17" s="16">
        <v>4</v>
      </c>
      <c r="G17" s="81">
        <f t="shared" ref="G17:G23" si="2">TRUNC(F17*E17,2)</f>
        <v>251.6</v>
      </c>
      <c r="H17" s="81">
        <f t="shared" ref="H17:H23" si="3">TRUNC(G17/12,2)</f>
        <v>20.96</v>
      </c>
    </row>
    <row r="18" ht="60" spans="1:8">
      <c r="A18" s="78">
        <v>2</v>
      </c>
      <c r="B18" s="16" t="s">
        <v>286</v>
      </c>
      <c r="C18" s="79" t="s">
        <v>287</v>
      </c>
      <c r="D18" s="16" t="s">
        <v>283</v>
      </c>
      <c r="E18" s="80">
        <v>66.98</v>
      </c>
      <c r="F18" s="16">
        <v>4</v>
      </c>
      <c r="G18" s="81">
        <f t="shared" si="2"/>
        <v>267.92</v>
      </c>
      <c r="H18" s="81">
        <f t="shared" si="3"/>
        <v>22.32</v>
      </c>
    </row>
    <row r="19" ht="60" spans="1:8">
      <c r="A19" s="78">
        <v>3</v>
      </c>
      <c r="B19" s="16" t="s">
        <v>286</v>
      </c>
      <c r="C19" s="79" t="s">
        <v>288</v>
      </c>
      <c r="D19" s="16" t="s">
        <v>283</v>
      </c>
      <c r="E19" s="80">
        <v>24.99</v>
      </c>
      <c r="F19" s="16">
        <v>4</v>
      </c>
      <c r="G19" s="81">
        <f t="shared" si="2"/>
        <v>99.96</v>
      </c>
      <c r="H19" s="81">
        <f t="shared" si="3"/>
        <v>8.33</v>
      </c>
    </row>
    <row r="20" ht="30" spans="1:8">
      <c r="A20" s="78">
        <v>4</v>
      </c>
      <c r="B20" s="16" t="s">
        <v>289</v>
      </c>
      <c r="C20" s="79" t="s">
        <v>290</v>
      </c>
      <c r="D20" s="16" t="s">
        <v>291</v>
      </c>
      <c r="E20" s="80">
        <v>79.29</v>
      </c>
      <c r="F20" s="16">
        <v>2</v>
      </c>
      <c r="G20" s="81">
        <f t="shared" si="2"/>
        <v>158.58</v>
      </c>
      <c r="H20" s="81">
        <f t="shared" si="3"/>
        <v>13.21</v>
      </c>
    </row>
    <row r="21" ht="45" spans="1:8">
      <c r="A21" s="78">
        <v>5</v>
      </c>
      <c r="B21" s="16" t="s">
        <v>292</v>
      </c>
      <c r="C21" s="79" t="s">
        <v>293</v>
      </c>
      <c r="D21" s="16" t="s">
        <v>291</v>
      </c>
      <c r="E21" s="80">
        <v>8.82</v>
      </c>
      <c r="F21" s="16">
        <v>4</v>
      </c>
      <c r="G21" s="81">
        <f t="shared" si="2"/>
        <v>35.28</v>
      </c>
      <c r="H21" s="81">
        <f t="shared" si="3"/>
        <v>2.94</v>
      </c>
    </row>
    <row r="22" ht="30" spans="1:8">
      <c r="A22" s="78">
        <v>6</v>
      </c>
      <c r="B22" s="16" t="s">
        <v>297</v>
      </c>
      <c r="C22" s="82" t="s">
        <v>298</v>
      </c>
      <c r="D22" s="16" t="s">
        <v>283</v>
      </c>
      <c r="E22" s="80">
        <v>20.23</v>
      </c>
      <c r="F22" s="16">
        <v>2</v>
      </c>
      <c r="G22" s="81">
        <f t="shared" si="2"/>
        <v>40.46</v>
      </c>
      <c r="H22" s="81">
        <f t="shared" si="3"/>
        <v>3.37</v>
      </c>
    </row>
    <row r="23" ht="45" spans="1:8">
      <c r="A23" s="78">
        <v>7</v>
      </c>
      <c r="B23" s="16" t="s">
        <v>294</v>
      </c>
      <c r="C23" s="79" t="s">
        <v>295</v>
      </c>
      <c r="D23" s="16" t="s">
        <v>283</v>
      </c>
      <c r="E23" s="80">
        <v>5.8</v>
      </c>
      <c r="F23" s="16">
        <v>1</v>
      </c>
      <c r="G23" s="81">
        <f t="shared" si="2"/>
        <v>5.8</v>
      </c>
      <c r="H23" s="81">
        <f t="shared" si="3"/>
        <v>0.48</v>
      </c>
    </row>
    <row r="24" spans="1:8">
      <c r="A24" s="18" t="s">
        <v>190</v>
      </c>
      <c r="B24" s="18"/>
      <c r="C24" s="18"/>
      <c r="D24" s="18"/>
      <c r="E24" s="18"/>
      <c r="F24" s="18"/>
      <c r="G24" s="19">
        <f>TRUNC(SUM(H17:H23),2)</f>
        <v>71.61</v>
      </c>
      <c r="H24" s="19"/>
    </row>
    <row r="27" spans="1:8">
      <c r="A27" s="71" t="s">
        <v>271</v>
      </c>
      <c r="B27" s="72"/>
      <c r="C27" s="71"/>
      <c r="D27" s="73"/>
      <c r="E27" s="71"/>
      <c r="F27" s="71"/>
      <c r="G27" s="71"/>
      <c r="H27" s="71"/>
    </row>
    <row r="28" spans="1:8">
      <c r="A28" s="74" t="s">
        <v>299</v>
      </c>
      <c r="B28" s="75"/>
      <c r="C28" s="74"/>
      <c r="D28" s="76"/>
      <c r="E28" s="74"/>
      <c r="F28" s="74"/>
      <c r="G28" s="74"/>
      <c r="H28" s="74"/>
    </row>
    <row r="29" ht="60" spans="1:8">
      <c r="A29" s="77" t="s">
        <v>273</v>
      </c>
      <c r="B29" s="77" t="s">
        <v>274</v>
      </c>
      <c r="C29" s="77" t="s">
        <v>275</v>
      </c>
      <c r="D29" s="77" t="s">
        <v>276</v>
      </c>
      <c r="E29" s="77" t="s">
        <v>277</v>
      </c>
      <c r="F29" s="77" t="s">
        <v>278</v>
      </c>
      <c r="G29" s="77" t="s">
        <v>279</v>
      </c>
      <c r="H29" s="77" t="s">
        <v>280</v>
      </c>
    </row>
    <row r="30" ht="30" spans="1:8">
      <c r="A30" s="78">
        <v>1</v>
      </c>
      <c r="B30" s="16" t="s">
        <v>281</v>
      </c>
      <c r="C30" s="79" t="s">
        <v>300</v>
      </c>
      <c r="D30" s="16" t="s">
        <v>283</v>
      </c>
      <c r="E30" s="80">
        <v>62.9</v>
      </c>
      <c r="F30" s="16">
        <v>4</v>
      </c>
      <c r="G30" s="81">
        <f t="shared" ref="G30:G36" si="4">TRUNC(F30*E30,2)</f>
        <v>251.6</v>
      </c>
      <c r="H30" s="81">
        <f t="shared" ref="H30:H36" si="5">TRUNC(G30/12,2)</f>
        <v>20.96</v>
      </c>
    </row>
    <row r="31" ht="60" spans="1:8">
      <c r="A31" s="78">
        <v>2</v>
      </c>
      <c r="B31" s="16" t="s">
        <v>286</v>
      </c>
      <c r="C31" s="79" t="s">
        <v>287</v>
      </c>
      <c r="D31" s="16" t="s">
        <v>283</v>
      </c>
      <c r="E31" s="80">
        <v>66.98</v>
      </c>
      <c r="F31" s="16">
        <v>4</v>
      </c>
      <c r="G31" s="81">
        <f t="shared" si="4"/>
        <v>267.92</v>
      </c>
      <c r="H31" s="81">
        <f t="shared" si="5"/>
        <v>22.32</v>
      </c>
    </row>
    <row r="32" ht="60" spans="1:8">
      <c r="A32" s="78">
        <v>3</v>
      </c>
      <c r="B32" s="16" t="s">
        <v>286</v>
      </c>
      <c r="C32" s="79" t="s">
        <v>288</v>
      </c>
      <c r="D32" s="16" t="s">
        <v>283</v>
      </c>
      <c r="E32" s="80">
        <v>24.99</v>
      </c>
      <c r="F32" s="16">
        <v>4</v>
      </c>
      <c r="G32" s="81">
        <f t="shared" si="4"/>
        <v>99.96</v>
      </c>
      <c r="H32" s="81">
        <f t="shared" si="5"/>
        <v>8.33</v>
      </c>
    </row>
    <row r="33" ht="90" spans="1:8">
      <c r="A33" s="78">
        <v>4</v>
      </c>
      <c r="B33" s="83" t="s">
        <v>301</v>
      </c>
      <c r="C33" s="79" t="s">
        <v>302</v>
      </c>
      <c r="D33" s="16" t="s">
        <v>291</v>
      </c>
      <c r="E33" s="80">
        <v>23.36</v>
      </c>
      <c r="F33" s="16">
        <v>2</v>
      </c>
      <c r="G33" s="81">
        <f t="shared" si="4"/>
        <v>46.72</v>
      </c>
      <c r="H33" s="81">
        <f t="shared" si="5"/>
        <v>3.89</v>
      </c>
    </row>
    <row r="34" ht="30" spans="1:8">
      <c r="A34" s="78">
        <v>5</v>
      </c>
      <c r="B34" s="16" t="s">
        <v>289</v>
      </c>
      <c r="C34" s="79" t="s">
        <v>290</v>
      </c>
      <c r="D34" s="16" t="s">
        <v>291</v>
      </c>
      <c r="E34" s="80">
        <v>79.29</v>
      </c>
      <c r="F34" s="16">
        <v>2</v>
      </c>
      <c r="G34" s="81">
        <f t="shared" si="4"/>
        <v>158.58</v>
      </c>
      <c r="H34" s="81">
        <f t="shared" si="5"/>
        <v>13.21</v>
      </c>
    </row>
    <row r="35" ht="45" spans="1:8">
      <c r="A35" s="78">
        <v>6</v>
      </c>
      <c r="B35" s="16" t="s">
        <v>292</v>
      </c>
      <c r="C35" s="79" t="s">
        <v>293</v>
      </c>
      <c r="D35" s="16" t="s">
        <v>291</v>
      </c>
      <c r="E35" s="80">
        <v>8.82</v>
      </c>
      <c r="F35" s="16">
        <v>4</v>
      </c>
      <c r="G35" s="81">
        <f t="shared" si="4"/>
        <v>35.28</v>
      </c>
      <c r="H35" s="81">
        <f t="shared" si="5"/>
        <v>2.94</v>
      </c>
    </row>
    <row r="36" ht="45" spans="1:8">
      <c r="A36" s="78">
        <v>7</v>
      </c>
      <c r="B36" s="16" t="s">
        <v>294</v>
      </c>
      <c r="C36" s="79" t="s">
        <v>295</v>
      </c>
      <c r="D36" s="16" t="s">
        <v>283</v>
      </c>
      <c r="E36" s="80">
        <v>5.8</v>
      </c>
      <c r="F36" s="16">
        <v>1</v>
      </c>
      <c r="G36" s="81">
        <f t="shared" si="4"/>
        <v>5.8</v>
      </c>
      <c r="H36" s="81">
        <f t="shared" si="5"/>
        <v>0.48</v>
      </c>
    </row>
    <row r="37" spans="1:8">
      <c r="A37" s="18" t="s">
        <v>190</v>
      </c>
      <c r="B37" s="18"/>
      <c r="C37" s="18"/>
      <c r="D37" s="18"/>
      <c r="E37" s="18"/>
      <c r="F37" s="18"/>
      <c r="G37" s="19">
        <f>TRUNC(SUM(H30:H36),2)</f>
        <v>72.13</v>
      </c>
      <c r="H37" s="19"/>
    </row>
    <row r="40" spans="1:8">
      <c r="A40" s="71" t="s">
        <v>303</v>
      </c>
      <c r="B40" s="72"/>
      <c r="C40" s="71"/>
      <c r="D40" s="73"/>
      <c r="E40" s="71"/>
      <c r="F40" s="71"/>
      <c r="G40" s="71"/>
      <c r="H40" s="71"/>
    </row>
    <row r="41" spans="1:8">
      <c r="A41" s="74" t="s">
        <v>304</v>
      </c>
      <c r="B41" s="75"/>
      <c r="C41" s="74"/>
      <c r="D41" s="76"/>
      <c r="E41" s="74"/>
      <c r="F41" s="74"/>
      <c r="G41" s="74"/>
      <c r="H41" s="74"/>
    </row>
    <row r="42" ht="60" spans="1:8">
      <c r="A42" s="77" t="s">
        <v>273</v>
      </c>
      <c r="B42" s="77" t="s">
        <v>274</v>
      </c>
      <c r="C42" s="77" t="s">
        <v>275</v>
      </c>
      <c r="D42" s="77" t="s">
        <v>276</v>
      </c>
      <c r="E42" s="77" t="s">
        <v>277</v>
      </c>
      <c r="F42" s="77" t="s">
        <v>278</v>
      </c>
      <c r="G42" s="77" t="s">
        <v>279</v>
      </c>
      <c r="H42" s="77" t="s">
        <v>280</v>
      </c>
    </row>
    <row r="43" ht="75" spans="1:8">
      <c r="A43" s="78">
        <v>1</v>
      </c>
      <c r="B43" s="16" t="s">
        <v>281</v>
      </c>
      <c r="C43" s="82" t="s">
        <v>305</v>
      </c>
      <c r="D43" s="16" t="s">
        <v>283</v>
      </c>
      <c r="E43" s="80">
        <v>131.61</v>
      </c>
      <c r="F43" s="16">
        <v>4</v>
      </c>
      <c r="G43" s="81">
        <f t="shared" ref="G43:G58" si="6">TRUNC(F43*E43,2)</f>
        <v>526.44</v>
      </c>
      <c r="H43" s="81">
        <f t="shared" ref="H43:H58" si="7">TRUNC(G43/12,2)</f>
        <v>43.87</v>
      </c>
    </row>
    <row r="44" ht="90" spans="1:8">
      <c r="A44" s="78">
        <v>2</v>
      </c>
      <c r="B44" s="16" t="s">
        <v>286</v>
      </c>
      <c r="C44" s="82" t="s">
        <v>306</v>
      </c>
      <c r="D44" s="16" t="s">
        <v>283</v>
      </c>
      <c r="E44" s="80">
        <v>138.74</v>
      </c>
      <c r="F44" s="16">
        <v>4</v>
      </c>
      <c r="G44" s="81">
        <f t="shared" si="6"/>
        <v>554.96</v>
      </c>
      <c r="H44" s="81">
        <f t="shared" si="7"/>
        <v>46.24</v>
      </c>
    </row>
    <row r="45" ht="60" spans="1:8">
      <c r="A45" s="78">
        <v>3</v>
      </c>
      <c r="B45" s="16" t="s">
        <v>286</v>
      </c>
      <c r="C45" s="84" t="s">
        <v>288</v>
      </c>
      <c r="D45" s="16" t="s">
        <v>283</v>
      </c>
      <c r="E45" s="80">
        <v>24.99</v>
      </c>
      <c r="F45" s="16">
        <v>4</v>
      </c>
      <c r="G45" s="81">
        <f t="shared" si="6"/>
        <v>99.96</v>
      </c>
      <c r="H45" s="81">
        <f t="shared" si="7"/>
        <v>8.33</v>
      </c>
    </row>
    <row r="46" ht="30" spans="1:8">
      <c r="A46" s="78">
        <v>4</v>
      </c>
      <c r="B46" s="83" t="s">
        <v>307</v>
      </c>
      <c r="C46" s="82" t="s">
        <v>308</v>
      </c>
      <c r="D46" s="16" t="s">
        <v>283</v>
      </c>
      <c r="E46" s="80">
        <v>11.23</v>
      </c>
      <c r="F46" s="16">
        <v>2</v>
      </c>
      <c r="G46" s="81">
        <f t="shared" si="6"/>
        <v>22.46</v>
      </c>
      <c r="H46" s="81">
        <f t="shared" si="7"/>
        <v>1.87</v>
      </c>
    </row>
    <row r="47" ht="90" spans="1:8">
      <c r="A47" s="78">
        <v>5</v>
      </c>
      <c r="B47" s="83" t="s">
        <v>301</v>
      </c>
      <c r="C47" s="82" t="s">
        <v>302</v>
      </c>
      <c r="D47" s="16" t="s">
        <v>291</v>
      </c>
      <c r="E47" s="80">
        <v>23.36</v>
      </c>
      <c r="F47" s="16">
        <v>2</v>
      </c>
      <c r="G47" s="81">
        <f t="shared" si="6"/>
        <v>46.72</v>
      </c>
      <c r="H47" s="81">
        <f t="shared" si="7"/>
        <v>3.89</v>
      </c>
    </row>
    <row r="48" ht="105" spans="1:8">
      <c r="A48" s="78">
        <v>6</v>
      </c>
      <c r="B48" s="16" t="s">
        <v>289</v>
      </c>
      <c r="C48" s="82" t="s">
        <v>309</v>
      </c>
      <c r="D48" s="16" t="s">
        <v>291</v>
      </c>
      <c r="E48" s="80">
        <v>89.5</v>
      </c>
      <c r="F48" s="16">
        <v>2</v>
      </c>
      <c r="G48" s="81">
        <f t="shared" si="6"/>
        <v>179</v>
      </c>
      <c r="H48" s="81">
        <f t="shared" si="7"/>
        <v>14.91</v>
      </c>
    </row>
    <row r="49" ht="45" spans="1:8">
      <c r="A49" s="78">
        <v>7</v>
      </c>
      <c r="B49" s="16" t="s">
        <v>292</v>
      </c>
      <c r="C49" s="82" t="s">
        <v>293</v>
      </c>
      <c r="D49" s="16" t="s">
        <v>291</v>
      </c>
      <c r="E49" s="80">
        <v>8.82</v>
      </c>
      <c r="F49" s="16">
        <v>4</v>
      </c>
      <c r="G49" s="81">
        <f t="shared" si="6"/>
        <v>35.28</v>
      </c>
      <c r="H49" s="81">
        <f t="shared" si="7"/>
        <v>2.94</v>
      </c>
    </row>
    <row r="50" ht="45" spans="1:8">
      <c r="A50" s="78">
        <v>8</v>
      </c>
      <c r="B50" s="16" t="s">
        <v>294</v>
      </c>
      <c r="C50" s="82" t="s">
        <v>295</v>
      </c>
      <c r="D50" s="16" t="s">
        <v>283</v>
      </c>
      <c r="E50" s="80">
        <v>5.8</v>
      </c>
      <c r="F50" s="16">
        <v>1</v>
      </c>
      <c r="G50" s="81">
        <f t="shared" si="6"/>
        <v>5.8</v>
      </c>
      <c r="H50" s="81">
        <f t="shared" si="7"/>
        <v>0.48</v>
      </c>
    </row>
    <row r="51" ht="120" spans="1:8">
      <c r="A51" s="78">
        <v>9</v>
      </c>
      <c r="B51" s="16" t="s">
        <v>310</v>
      </c>
      <c r="C51" s="82" t="s">
        <v>311</v>
      </c>
      <c r="D51" s="16" t="s">
        <v>283</v>
      </c>
      <c r="E51" s="80">
        <v>16.2</v>
      </c>
      <c r="F51" s="16">
        <v>1</v>
      </c>
      <c r="G51" s="81">
        <f t="shared" si="6"/>
        <v>16.2</v>
      </c>
      <c r="H51" s="81">
        <f t="shared" si="7"/>
        <v>1.35</v>
      </c>
    </row>
    <row r="52" ht="60" spans="1:8">
      <c r="A52" s="78">
        <v>10</v>
      </c>
      <c r="B52" s="16" t="s">
        <v>312</v>
      </c>
      <c r="C52" s="82" t="s">
        <v>313</v>
      </c>
      <c r="D52" s="16" t="s">
        <v>314</v>
      </c>
      <c r="E52" s="80">
        <v>222.4</v>
      </c>
      <c r="F52" s="16">
        <v>1</v>
      </c>
      <c r="G52" s="81">
        <f t="shared" si="6"/>
        <v>222.4</v>
      </c>
      <c r="H52" s="81">
        <f t="shared" si="7"/>
        <v>18.53</v>
      </c>
    </row>
    <row r="53" ht="45" spans="1:8">
      <c r="A53" s="78">
        <v>11</v>
      </c>
      <c r="B53" s="16" t="s">
        <v>315</v>
      </c>
      <c r="C53" s="82" t="s">
        <v>316</v>
      </c>
      <c r="D53" s="16" t="s">
        <v>291</v>
      </c>
      <c r="E53" s="80">
        <v>497.03</v>
      </c>
      <c r="F53" s="16">
        <v>1</v>
      </c>
      <c r="G53" s="81">
        <f t="shared" si="6"/>
        <v>497.03</v>
      </c>
      <c r="H53" s="81">
        <f t="shared" si="7"/>
        <v>41.41</v>
      </c>
    </row>
    <row r="54" ht="60" spans="1:8">
      <c r="A54" s="78">
        <v>12</v>
      </c>
      <c r="B54" s="16" t="s">
        <v>315</v>
      </c>
      <c r="C54" s="82" t="s">
        <v>317</v>
      </c>
      <c r="D54" s="16" t="s">
        <v>291</v>
      </c>
      <c r="E54" s="80">
        <v>3.8</v>
      </c>
      <c r="F54" s="16">
        <v>6</v>
      </c>
      <c r="G54" s="81">
        <f t="shared" si="6"/>
        <v>22.8</v>
      </c>
      <c r="H54" s="81">
        <f t="shared" si="7"/>
        <v>1.9</v>
      </c>
    </row>
    <row r="55" ht="75" spans="1:8">
      <c r="A55" s="78">
        <v>13</v>
      </c>
      <c r="B55" s="16" t="s">
        <v>318</v>
      </c>
      <c r="C55" s="82" t="s">
        <v>319</v>
      </c>
      <c r="D55" s="16" t="s">
        <v>283</v>
      </c>
      <c r="E55" s="80">
        <v>7</v>
      </c>
      <c r="F55" s="16">
        <v>2</v>
      </c>
      <c r="G55" s="81">
        <f t="shared" si="6"/>
        <v>14</v>
      </c>
      <c r="H55" s="81">
        <f t="shared" si="7"/>
        <v>1.16</v>
      </c>
    </row>
    <row r="56" ht="45" spans="1:8">
      <c r="A56" s="78">
        <v>14</v>
      </c>
      <c r="B56" s="16" t="s">
        <v>320</v>
      </c>
      <c r="C56" s="82" t="s">
        <v>321</v>
      </c>
      <c r="D56" s="16" t="s">
        <v>283</v>
      </c>
      <c r="E56" s="80">
        <v>1.57</v>
      </c>
      <c r="F56" s="16">
        <v>4</v>
      </c>
      <c r="G56" s="81">
        <f t="shared" si="6"/>
        <v>6.28</v>
      </c>
      <c r="H56" s="81">
        <f t="shared" si="7"/>
        <v>0.52</v>
      </c>
    </row>
    <row r="57" ht="30" spans="1:8">
      <c r="A57" s="78">
        <v>15</v>
      </c>
      <c r="B57" s="16" t="s">
        <v>322</v>
      </c>
      <c r="C57" s="82" t="s">
        <v>323</v>
      </c>
      <c r="D57" s="16" t="s">
        <v>283</v>
      </c>
      <c r="E57" s="80">
        <v>28</v>
      </c>
      <c r="F57" s="16">
        <v>4</v>
      </c>
      <c r="G57" s="81">
        <f t="shared" si="6"/>
        <v>112</v>
      </c>
      <c r="H57" s="81">
        <f t="shared" si="7"/>
        <v>9.33</v>
      </c>
    </row>
    <row r="58" ht="105" spans="1:8">
      <c r="A58" s="78">
        <v>16</v>
      </c>
      <c r="B58" s="16" t="s">
        <v>324</v>
      </c>
      <c r="C58" s="82" t="s">
        <v>325</v>
      </c>
      <c r="D58" s="16" t="s">
        <v>283</v>
      </c>
      <c r="E58" s="80">
        <v>3.55</v>
      </c>
      <c r="F58" s="16">
        <v>12</v>
      </c>
      <c r="G58" s="81">
        <f t="shared" si="6"/>
        <v>42.6</v>
      </c>
      <c r="H58" s="81">
        <f t="shared" si="7"/>
        <v>3.55</v>
      </c>
    </row>
    <row r="59" spans="1:8">
      <c r="A59" s="18" t="s">
        <v>190</v>
      </c>
      <c r="B59" s="18"/>
      <c r="C59" s="18"/>
      <c r="D59" s="18"/>
      <c r="E59" s="18"/>
      <c r="F59" s="18"/>
      <c r="G59" s="19">
        <f>TRUNC(SUM(H43:H58),2)</f>
        <v>200.28</v>
      </c>
      <c r="H59" s="19"/>
    </row>
    <row r="62" spans="1:8">
      <c r="A62" s="71" t="s">
        <v>303</v>
      </c>
      <c r="B62" s="72"/>
      <c r="C62" s="71"/>
      <c r="D62" s="73"/>
      <c r="E62" s="71"/>
      <c r="F62" s="71"/>
      <c r="G62" s="71"/>
      <c r="H62" s="71"/>
    </row>
    <row r="63" spans="1:8">
      <c r="A63" s="74" t="s">
        <v>326</v>
      </c>
      <c r="B63" s="75"/>
      <c r="C63" s="74"/>
      <c r="D63" s="76"/>
      <c r="E63" s="74"/>
      <c r="F63" s="74"/>
      <c r="G63" s="74"/>
      <c r="H63" s="74"/>
    </row>
    <row r="64" ht="60" spans="1:8">
      <c r="A64" s="77" t="s">
        <v>273</v>
      </c>
      <c r="B64" s="77" t="s">
        <v>274</v>
      </c>
      <c r="C64" s="77" t="s">
        <v>275</v>
      </c>
      <c r="D64" s="77" t="s">
        <v>276</v>
      </c>
      <c r="E64" s="77" t="s">
        <v>277</v>
      </c>
      <c r="F64" s="77" t="s">
        <v>278</v>
      </c>
      <c r="G64" s="77" t="s">
        <v>279</v>
      </c>
      <c r="H64" s="77" t="s">
        <v>280</v>
      </c>
    </row>
    <row r="65" ht="60" spans="1:8">
      <c r="A65" s="78">
        <v>1</v>
      </c>
      <c r="B65" s="16" t="s">
        <v>281</v>
      </c>
      <c r="C65" s="79" t="s">
        <v>327</v>
      </c>
      <c r="D65" s="16" t="s">
        <v>283</v>
      </c>
      <c r="E65" s="80">
        <v>52.53</v>
      </c>
      <c r="F65" s="16">
        <v>4</v>
      </c>
      <c r="G65" s="81">
        <f>TRUNC(F65*E65,2)</f>
        <v>210.12</v>
      </c>
      <c r="H65" s="81">
        <f>TRUNC(G65/12,2)</f>
        <v>17.51</v>
      </c>
    </row>
    <row r="66" ht="60" spans="1:8">
      <c r="A66" s="78">
        <v>2</v>
      </c>
      <c r="B66" s="16" t="s">
        <v>286</v>
      </c>
      <c r="C66" s="79" t="s">
        <v>328</v>
      </c>
      <c r="D66" s="16" t="s">
        <v>283</v>
      </c>
      <c r="E66" s="80">
        <v>45.6</v>
      </c>
      <c r="F66" s="16">
        <v>4</v>
      </c>
      <c r="G66" s="81">
        <f t="shared" ref="G66:G80" si="8">TRUNC(F66*E66,2)</f>
        <v>182.4</v>
      </c>
      <c r="H66" s="81">
        <f t="shared" ref="H66:H80" si="9">TRUNC(G66/12,2)</f>
        <v>15.2</v>
      </c>
    </row>
    <row r="67" ht="60" spans="1:8">
      <c r="A67" s="78">
        <v>3</v>
      </c>
      <c r="B67" s="16" t="s">
        <v>286</v>
      </c>
      <c r="C67" s="79" t="s">
        <v>288</v>
      </c>
      <c r="D67" s="16" t="s">
        <v>283</v>
      </c>
      <c r="E67" s="80">
        <v>24.99</v>
      </c>
      <c r="F67" s="16">
        <v>4</v>
      </c>
      <c r="G67" s="81">
        <f t="shared" si="8"/>
        <v>99.96</v>
      </c>
      <c r="H67" s="81">
        <f t="shared" si="9"/>
        <v>8.33</v>
      </c>
    </row>
    <row r="68" ht="30" spans="1:8">
      <c r="A68" s="78">
        <v>4</v>
      </c>
      <c r="B68" s="83" t="s">
        <v>307</v>
      </c>
      <c r="C68" s="79" t="s">
        <v>308</v>
      </c>
      <c r="D68" s="16" t="s">
        <v>283</v>
      </c>
      <c r="E68" s="80">
        <v>11.23</v>
      </c>
      <c r="F68" s="16">
        <v>2</v>
      </c>
      <c r="G68" s="81">
        <f t="shared" si="8"/>
        <v>22.46</v>
      </c>
      <c r="H68" s="81">
        <f t="shared" si="9"/>
        <v>1.87</v>
      </c>
    </row>
    <row r="69" ht="90" spans="1:8">
      <c r="A69" s="78">
        <v>5</v>
      </c>
      <c r="B69" s="83" t="s">
        <v>301</v>
      </c>
      <c r="C69" s="79" t="s">
        <v>302</v>
      </c>
      <c r="D69" s="16" t="s">
        <v>291</v>
      </c>
      <c r="E69" s="80">
        <v>23.36</v>
      </c>
      <c r="F69" s="16">
        <v>2</v>
      </c>
      <c r="G69" s="81">
        <f t="shared" si="8"/>
        <v>46.72</v>
      </c>
      <c r="H69" s="81">
        <f t="shared" si="9"/>
        <v>3.89</v>
      </c>
    </row>
    <row r="70" ht="60" spans="1:8">
      <c r="A70" s="78">
        <v>6</v>
      </c>
      <c r="B70" s="16" t="s">
        <v>289</v>
      </c>
      <c r="C70" s="79" t="s">
        <v>329</v>
      </c>
      <c r="D70" s="16" t="s">
        <v>291</v>
      </c>
      <c r="E70" s="80">
        <v>55.76</v>
      </c>
      <c r="F70" s="16">
        <v>2</v>
      </c>
      <c r="G70" s="81">
        <f t="shared" si="8"/>
        <v>111.52</v>
      </c>
      <c r="H70" s="81">
        <f t="shared" si="9"/>
        <v>9.29</v>
      </c>
    </row>
    <row r="71" ht="105" spans="1:8">
      <c r="A71" s="78">
        <v>7</v>
      </c>
      <c r="B71" s="16" t="s">
        <v>289</v>
      </c>
      <c r="C71" s="79" t="s">
        <v>330</v>
      </c>
      <c r="D71" s="16" t="s">
        <v>291</v>
      </c>
      <c r="E71" s="80">
        <v>35.16</v>
      </c>
      <c r="F71" s="16">
        <v>1</v>
      </c>
      <c r="G71" s="81">
        <f t="shared" si="8"/>
        <v>35.16</v>
      </c>
      <c r="H71" s="81">
        <f t="shared" si="9"/>
        <v>2.93</v>
      </c>
    </row>
    <row r="72" ht="45" spans="1:8">
      <c r="A72" s="78">
        <v>8</v>
      </c>
      <c r="B72" s="16" t="s">
        <v>292</v>
      </c>
      <c r="C72" s="79" t="s">
        <v>293</v>
      </c>
      <c r="D72" s="16" t="s">
        <v>291</v>
      </c>
      <c r="E72" s="80">
        <v>8.82</v>
      </c>
      <c r="F72" s="16">
        <v>4</v>
      </c>
      <c r="G72" s="81">
        <f t="shared" si="8"/>
        <v>35.28</v>
      </c>
      <c r="H72" s="81">
        <f t="shared" si="9"/>
        <v>2.94</v>
      </c>
    </row>
    <row r="73" ht="45" spans="1:8">
      <c r="A73" s="78">
        <v>9</v>
      </c>
      <c r="B73" s="16" t="s">
        <v>294</v>
      </c>
      <c r="C73" s="79" t="s">
        <v>295</v>
      </c>
      <c r="D73" s="16" t="s">
        <v>283</v>
      </c>
      <c r="E73" s="80">
        <v>5.8</v>
      </c>
      <c r="F73" s="16">
        <v>1</v>
      </c>
      <c r="G73" s="81">
        <f t="shared" si="8"/>
        <v>5.8</v>
      </c>
      <c r="H73" s="81">
        <f t="shared" si="9"/>
        <v>0.48</v>
      </c>
    </row>
    <row r="74" ht="60" spans="1:8">
      <c r="A74" s="78">
        <v>10</v>
      </c>
      <c r="B74" s="16" t="s">
        <v>310</v>
      </c>
      <c r="C74" s="79" t="s">
        <v>331</v>
      </c>
      <c r="D74" s="16" t="s">
        <v>283</v>
      </c>
      <c r="E74" s="80">
        <v>36.92</v>
      </c>
      <c r="F74" s="16">
        <v>1</v>
      </c>
      <c r="G74" s="81">
        <f t="shared" si="8"/>
        <v>36.92</v>
      </c>
      <c r="H74" s="81">
        <f t="shared" si="9"/>
        <v>3.07</v>
      </c>
    </row>
    <row r="75" ht="60" spans="1:8">
      <c r="A75" s="78">
        <v>11</v>
      </c>
      <c r="B75" s="16" t="s">
        <v>312</v>
      </c>
      <c r="C75" s="79" t="s">
        <v>313</v>
      </c>
      <c r="D75" s="16" t="s">
        <v>314</v>
      </c>
      <c r="E75" s="80">
        <v>222.4</v>
      </c>
      <c r="F75" s="16">
        <v>1</v>
      </c>
      <c r="G75" s="81">
        <f t="shared" si="8"/>
        <v>222.4</v>
      </c>
      <c r="H75" s="81">
        <f t="shared" si="9"/>
        <v>18.53</v>
      </c>
    </row>
    <row r="76" ht="60" spans="1:8">
      <c r="A76" s="78">
        <v>12</v>
      </c>
      <c r="B76" s="16" t="s">
        <v>315</v>
      </c>
      <c r="C76" s="79" t="s">
        <v>317</v>
      </c>
      <c r="D76" s="16" t="s">
        <v>291</v>
      </c>
      <c r="E76" s="80">
        <v>3.8</v>
      </c>
      <c r="F76" s="16">
        <v>6</v>
      </c>
      <c r="G76" s="81">
        <f t="shared" si="8"/>
        <v>22.8</v>
      </c>
      <c r="H76" s="81">
        <f t="shared" si="9"/>
        <v>1.9</v>
      </c>
    </row>
    <row r="77" ht="75" spans="1:8">
      <c r="A77" s="78">
        <v>13</v>
      </c>
      <c r="B77" s="16" t="s">
        <v>318</v>
      </c>
      <c r="C77" s="79" t="s">
        <v>319</v>
      </c>
      <c r="D77" s="16" t="s">
        <v>283</v>
      </c>
      <c r="E77" s="80">
        <v>7</v>
      </c>
      <c r="F77" s="16">
        <v>2</v>
      </c>
      <c r="G77" s="81">
        <f t="shared" si="8"/>
        <v>14</v>
      </c>
      <c r="H77" s="81">
        <f t="shared" si="9"/>
        <v>1.16</v>
      </c>
    </row>
    <row r="78" ht="45" spans="1:8">
      <c r="A78" s="78">
        <v>14</v>
      </c>
      <c r="B78" s="16" t="s">
        <v>320</v>
      </c>
      <c r="C78" s="79" t="s">
        <v>321</v>
      </c>
      <c r="D78" s="16" t="s">
        <v>283</v>
      </c>
      <c r="E78" s="80">
        <v>1.57</v>
      </c>
      <c r="F78" s="16">
        <v>4</v>
      </c>
      <c r="G78" s="81">
        <f t="shared" si="8"/>
        <v>6.28</v>
      </c>
      <c r="H78" s="81">
        <f t="shared" si="9"/>
        <v>0.52</v>
      </c>
    </row>
    <row r="79" ht="30" spans="1:8">
      <c r="A79" s="78">
        <v>15</v>
      </c>
      <c r="B79" s="16" t="s">
        <v>322</v>
      </c>
      <c r="C79" s="79" t="s">
        <v>323</v>
      </c>
      <c r="D79" s="16" t="s">
        <v>283</v>
      </c>
      <c r="E79" s="80">
        <v>28</v>
      </c>
      <c r="F79" s="16">
        <v>4</v>
      </c>
      <c r="G79" s="81">
        <f t="shared" si="8"/>
        <v>112</v>
      </c>
      <c r="H79" s="81">
        <f t="shared" si="9"/>
        <v>9.33</v>
      </c>
    </row>
    <row r="80" ht="105" spans="1:8">
      <c r="A80" s="78">
        <v>16</v>
      </c>
      <c r="B80" s="78" t="s">
        <v>324</v>
      </c>
      <c r="C80" s="79" t="s">
        <v>325</v>
      </c>
      <c r="D80" s="16" t="s">
        <v>283</v>
      </c>
      <c r="E80" s="80">
        <v>3.55</v>
      </c>
      <c r="F80" s="16">
        <v>12</v>
      </c>
      <c r="G80" s="81">
        <f t="shared" si="8"/>
        <v>42.6</v>
      </c>
      <c r="H80" s="81">
        <f t="shared" si="9"/>
        <v>3.55</v>
      </c>
    </row>
    <row r="81" spans="1:8">
      <c r="A81" s="18" t="s">
        <v>190</v>
      </c>
      <c r="B81" s="18"/>
      <c r="C81" s="18"/>
      <c r="D81" s="18"/>
      <c r="E81" s="18"/>
      <c r="F81" s="18"/>
      <c r="G81" s="19">
        <f>TRUNC(SUM(H65:H80),2)</f>
        <v>100.5</v>
      </c>
      <c r="H81" s="19"/>
    </row>
    <row r="84" spans="1:8">
      <c r="A84" s="71" t="s">
        <v>303</v>
      </c>
      <c r="B84" s="72"/>
      <c r="C84" s="71"/>
      <c r="D84" s="73"/>
      <c r="E84" s="71"/>
      <c r="F84" s="71"/>
      <c r="G84" s="71"/>
      <c r="H84" s="71"/>
    </row>
    <row r="85" spans="1:8">
      <c r="A85" s="74" t="s">
        <v>304</v>
      </c>
      <c r="B85" s="75"/>
      <c r="C85" s="74"/>
      <c r="D85" s="76"/>
      <c r="E85" s="74"/>
      <c r="F85" s="74"/>
      <c r="G85" s="74"/>
      <c r="H85" s="74"/>
    </row>
    <row r="86" ht="60" spans="1:8">
      <c r="A86" s="77" t="s">
        <v>273</v>
      </c>
      <c r="B86" s="77" t="s">
        <v>274</v>
      </c>
      <c r="C86" s="77" t="s">
        <v>275</v>
      </c>
      <c r="D86" s="77" t="s">
        <v>276</v>
      </c>
      <c r="E86" s="77" t="s">
        <v>277</v>
      </c>
      <c r="F86" s="77" t="s">
        <v>278</v>
      </c>
      <c r="G86" s="77" t="s">
        <v>279</v>
      </c>
      <c r="H86" s="77" t="s">
        <v>280</v>
      </c>
    </row>
    <row r="87" ht="75" spans="1:8">
      <c r="A87" s="78">
        <v>1</v>
      </c>
      <c r="B87" s="16" t="s">
        <v>281</v>
      </c>
      <c r="C87" s="82" t="s">
        <v>305</v>
      </c>
      <c r="D87" s="16" t="s">
        <v>283</v>
      </c>
      <c r="E87" s="80">
        <v>131.61</v>
      </c>
      <c r="F87" s="16">
        <v>4</v>
      </c>
      <c r="G87" s="81">
        <f>TRUNC(F87*E87,2)</f>
        <v>526.44</v>
      </c>
      <c r="H87" s="81">
        <f>TRUNC(G87/12,2)</f>
        <v>43.87</v>
      </c>
    </row>
    <row r="88" ht="90" spans="1:8">
      <c r="A88" s="78">
        <v>2</v>
      </c>
      <c r="B88" s="16" t="s">
        <v>286</v>
      </c>
      <c r="C88" s="82" t="s">
        <v>306</v>
      </c>
      <c r="D88" s="16" t="s">
        <v>283</v>
      </c>
      <c r="E88" s="80">
        <v>138.74</v>
      </c>
      <c r="F88" s="16">
        <v>4</v>
      </c>
      <c r="G88" s="81">
        <f t="shared" ref="G88:G102" si="10">TRUNC(F88*E88,2)</f>
        <v>554.96</v>
      </c>
      <c r="H88" s="81">
        <f t="shared" ref="H88:H102" si="11">TRUNC(G88/12,2)</f>
        <v>46.24</v>
      </c>
    </row>
    <row r="89" ht="60" spans="1:8">
      <c r="A89" s="78">
        <v>3</v>
      </c>
      <c r="B89" s="16" t="s">
        <v>286</v>
      </c>
      <c r="C89" s="84" t="s">
        <v>288</v>
      </c>
      <c r="D89" s="16" t="s">
        <v>283</v>
      </c>
      <c r="E89" s="80">
        <v>24.99</v>
      </c>
      <c r="F89" s="16">
        <v>4</v>
      </c>
      <c r="G89" s="81">
        <f t="shared" si="10"/>
        <v>99.96</v>
      </c>
      <c r="H89" s="81">
        <f t="shared" si="11"/>
        <v>8.33</v>
      </c>
    </row>
    <row r="90" ht="30" spans="1:8">
      <c r="A90" s="78">
        <v>4</v>
      </c>
      <c r="B90" s="83" t="s">
        <v>307</v>
      </c>
      <c r="C90" s="82" t="s">
        <v>308</v>
      </c>
      <c r="D90" s="16" t="s">
        <v>283</v>
      </c>
      <c r="E90" s="80">
        <v>11.23</v>
      </c>
      <c r="F90" s="16">
        <v>2</v>
      </c>
      <c r="G90" s="81">
        <f t="shared" si="10"/>
        <v>22.46</v>
      </c>
      <c r="H90" s="81">
        <f t="shared" si="11"/>
        <v>1.87</v>
      </c>
    </row>
    <row r="91" ht="90" spans="1:8">
      <c r="A91" s="78">
        <v>5</v>
      </c>
      <c r="B91" s="83" t="s">
        <v>301</v>
      </c>
      <c r="C91" s="82" t="s">
        <v>302</v>
      </c>
      <c r="D91" s="16" t="s">
        <v>291</v>
      </c>
      <c r="E91" s="80">
        <v>23.36</v>
      </c>
      <c r="F91" s="16">
        <v>2</v>
      </c>
      <c r="G91" s="81">
        <f t="shared" si="10"/>
        <v>46.72</v>
      </c>
      <c r="H91" s="81">
        <f t="shared" si="11"/>
        <v>3.89</v>
      </c>
    </row>
    <row r="92" ht="105" spans="1:8">
      <c r="A92" s="78">
        <v>6</v>
      </c>
      <c r="B92" s="16" t="s">
        <v>289</v>
      </c>
      <c r="C92" s="82" t="s">
        <v>309</v>
      </c>
      <c r="D92" s="16" t="s">
        <v>291</v>
      </c>
      <c r="E92" s="80">
        <v>89.5</v>
      </c>
      <c r="F92" s="16">
        <v>2</v>
      </c>
      <c r="G92" s="81">
        <f t="shared" si="10"/>
        <v>179</v>
      </c>
      <c r="H92" s="81">
        <f t="shared" si="11"/>
        <v>14.91</v>
      </c>
    </row>
    <row r="93" ht="45" spans="1:8">
      <c r="A93" s="78">
        <v>7</v>
      </c>
      <c r="B93" s="16" t="s">
        <v>292</v>
      </c>
      <c r="C93" s="82" t="s">
        <v>293</v>
      </c>
      <c r="D93" s="16" t="s">
        <v>291</v>
      </c>
      <c r="E93" s="80">
        <v>8.82</v>
      </c>
      <c r="F93" s="16">
        <v>4</v>
      </c>
      <c r="G93" s="81">
        <f t="shared" si="10"/>
        <v>35.28</v>
      </c>
      <c r="H93" s="81">
        <f t="shared" si="11"/>
        <v>2.94</v>
      </c>
    </row>
    <row r="94" ht="45" spans="1:8">
      <c r="A94" s="78">
        <v>8</v>
      </c>
      <c r="B94" s="16" t="s">
        <v>294</v>
      </c>
      <c r="C94" s="82" t="s">
        <v>295</v>
      </c>
      <c r="D94" s="16" t="s">
        <v>283</v>
      </c>
      <c r="E94" s="80">
        <v>5.8</v>
      </c>
      <c r="F94" s="16">
        <v>1</v>
      </c>
      <c r="G94" s="81">
        <f t="shared" si="10"/>
        <v>5.8</v>
      </c>
      <c r="H94" s="81">
        <f t="shared" si="11"/>
        <v>0.48</v>
      </c>
    </row>
    <row r="95" ht="120" spans="1:8">
      <c r="A95" s="78">
        <v>9</v>
      </c>
      <c r="B95" s="16" t="s">
        <v>310</v>
      </c>
      <c r="C95" s="82" t="s">
        <v>311</v>
      </c>
      <c r="D95" s="16" t="s">
        <v>283</v>
      </c>
      <c r="E95" s="80">
        <v>16.2</v>
      </c>
      <c r="F95" s="16">
        <v>1</v>
      </c>
      <c r="G95" s="81">
        <f t="shared" si="10"/>
        <v>16.2</v>
      </c>
      <c r="H95" s="81">
        <f t="shared" si="11"/>
        <v>1.35</v>
      </c>
    </row>
    <row r="96" ht="60" spans="1:8">
      <c r="A96" s="78">
        <v>10</v>
      </c>
      <c r="B96" s="16" t="s">
        <v>312</v>
      </c>
      <c r="C96" s="82" t="s">
        <v>313</v>
      </c>
      <c r="D96" s="16" t="s">
        <v>314</v>
      </c>
      <c r="E96" s="80">
        <v>222.4</v>
      </c>
      <c r="F96" s="16">
        <v>1</v>
      </c>
      <c r="G96" s="81">
        <f t="shared" si="10"/>
        <v>222.4</v>
      </c>
      <c r="H96" s="81">
        <f t="shared" si="11"/>
        <v>18.53</v>
      </c>
    </row>
    <row r="97" ht="45" spans="1:8">
      <c r="A97" s="78">
        <v>11</v>
      </c>
      <c r="B97" s="16" t="s">
        <v>315</v>
      </c>
      <c r="C97" s="82" t="s">
        <v>316</v>
      </c>
      <c r="D97" s="16" t="s">
        <v>291</v>
      </c>
      <c r="E97" s="80">
        <v>497.03</v>
      </c>
      <c r="F97" s="16">
        <v>1</v>
      </c>
      <c r="G97" s="81">
        <f t="shared" si="10"/>
        <v>497.03</v>
      </c>
      <c r="H97" s="81">
        <f t="shared" si="11"/>
        <v>41.41</v>
      </c>
    </row>
    <row r="98" ht="60" spans="1:8">
      <c r="A98" s="78">
        <v>12</v>
      </c>
      <c r="B98" s="16" t="s">
        <v>315</v>
      </c>
      <c r="C98" s="82" t="s">
        <v>317</v>
      </c>
      <c r="D98" s="16" t="s">
        <v>291</v>
      </c>
      <c r="E98" s="80">
        <v>3.8</v>
      </c>
      <c r="F98" s="16">
        <v>6</v>
      </c>
      <c r="G98" s="81">
        <f t="shared" si="10"/>
        <v>22.8</v>
      </c>
      <c r="H98" s="81">
        <f t="shared" si="11"/>
        <v>1.9</v>
      </c>
    </row>
    <row r="99" ht="75" spans="1:8">
      <c r="A99" s="78">
        <v>13</v>
      </c>
      <c r="B99" s="16" t="s">
        <v>318</v>
      </c>
      <c r="C99" s="82" t="s">
        <v>319</v>
      </c>
      <c r="D99" s="16" t="s">
        <v>283</v>
      </c>
      <c r="E99" s="80">
        <v>7</v>
      </c>
      <c r="F99" s="16">
        <v>2</v>
      </c>
      <c r="G99" s="81">
        <f t="shared" si="10"/>
        <v>14</v>
      </c>
      <c r="H99" s="81">
        <f t="shared" si="11"/>
        <v>1.16</v>
      </c>
    </row>
    <row r="100" ht="45" spans="1:8">
      <c r="A100" s="78">
        <v>14</v>
      </c>
      <c r="B100" s="16" t="s">
        <v>320</v>
      </c>
      <c r="C100" s="82" t="s">
        <v>321</v>
      </c>
      <c r="D100" s="16" t="s">
        <v>283</v>
      </c>
      <c r="E100" s="80">
        <v>1.57</v>
      </c>
      <c r="F100" s="16">
        <v>4</v>
      </c>
      <c r="G100" s="81">
        <f t="shared" si="10"/>
        <v>6.28</v>
      </c>
      <c r="H100" s="81">
        <f t="shared" si="11"/>
        <v>0.52</v>
      </c>
    </row>
    <row r="101" ht="30" spans="1:8">
      <c r="A101" s="78">
        <v>15</v>
      </c>
      <c r="B101" s="16" t="s">
        <v>322</v>
      </c>
      <c r="C101" s="82" t="s">
        <v>323</v>
      </c>
      <c r="D101" s="16" t="s">
        <v>283</v>
      </c>
      <c r="E101" s="80">
        <v>28</v>
      </c>
      <c r="F101" s="16">
        <v>4</v>
      </c>
      <c r="G101" s="81">
        <f t="shared" si="10"/>
        <v>112</v>
      </c>
      <c r="H101" s="81">
        <f t="shared" si="11"/>
        <v>9.33</v>
      </c>
    </row>
    <row r="102" ht="105" spans="1:8">
      <c r="A102" s="78">
        <v>16</v>
      </c>
      <c r="B102" s="16" t="s">
        <v>324</v>
      </c>
      <c r="C102" s="82" t="s">
        <v>325</v>
      </c>
      <c r="D102" s="16" t="s">
        <v>283</v>
      </c>
      <c r="E102" s="80">
        <v>3.55</v>
      </c>
      <c r="F102" s="16">
        <v>12</v>
      </c>
      <c r="G102" s="81">
        <f t="shared" si="10"/>
        <v>42.6</v>
      </c>
      <c r="H102" s="81">
        <f t="shared" si="11"/>
        <v>3.55</v>
      </c>
    </row>
    <row r="103" spans="1:8">
      <c r="A103" s="18" t="s">
        <v>190</v>
      </c>
      <c r="B103" s="18"/>
      <c r="C103" s="18"/>
      <c r="D103" s="18"/>
      <c r="E103" s="18"/>
      <c r="F103" s="18"/>
      <c r="G103" s="19">
        <f>TRUNC(SUM(H87:H102),2)</f>
        <v>200.28</v>
      </c>
      <c r="H103" s="19"/>
    </row>
    <row r="105" spans="1:9">
      <c r="A105" s="85"/>
      <c r="B105" s="78"/>
      <c r="C105" s="85"/>
      <c r="D105" s="86"/>
      <c r="E105" s="85"/>
      <c r="F105" s="85"/>
      <c r="G105" s="85"/>
      <c r="H105" s="85"/>
      <c r="I105" s="85"/>
    </row>
    <row r="106" spans="1:9">
      <c r="A106" s="87" t="s">
        <v>303</v>
      </c>
      <c r="B106" s="88"/>
      <c r="C106" s="87"/>
      <c r="D106" s="89"/>
      <c r="E106" s="87"/>
      <c r="F106" s="87"/>
      <c r="G106" s="87"/>
      <c r="H106" s="87"/>
      <c r="I106" s="85"/>
    </row>
    <row r="107" spans="1:9">
      <c r="A107" s="74" t="s">
        <v>332</v>
      </c>
      <c r="B107" s="75"/>
      <c r="C107" s="74"/>
      <c r="D107" s="76"/>
      <c r="E107" s="74"/>
      <c r="F107" s="74"/>
      <c r="G107" s="74"/>
      <c r="H107" s="74"/>
      <c r="I107" s="85"/>
    </row>
    <row r="108" ht="60" spans="1:9">
      <c r="A108" s="90" t="s">
        <v>273</v>
      </c>
      <c r="B108" s="90" t="s">
        <v>274</v>
      </c>
      <c r="C108" s="90" t="s">
        <v>275</v>
      </c>
      <c r="D108" s="90" t="s">
        <v>276</v>
      </c>
      <c r="E108" s="90" t="s">
        <v>277</v>
      </c>
      <c r="F108" s="90" t="s">
        <v>278</v>
      </c>
      <c r="G108" s="90" t="s">
        <v>279</v>
      </c>
      <c r="H108" s="90" t="s">
        <v>280</v>
      </c>
      <c r="I108" s="85"/>
    </row>
    <row r="109" ht="60" spans="1:9">
      <c r="A109" s="78">
        <v>1</v>
      </c>
      <c r="B109" s="16" t="s">
        <v>281</v>
      </c>
      <c r="C109" s="82" t="s">
        <v>327</v>
      </c>
      <c r="D109" s="16" t="s">
        <v>283</v>
      </c>
      <c r="E109" s="80">
        <v>52.53</v>
      </c>
      <c r="F109" s="16">
        <v>4</v>
      </c>
      <c r="G109" s="81">
        <f>TRUNC(F109*E109,2)</f>
        <v>210.12</v>
      </c>
      <c r="H109" s="81">
        <f>TRUNC(G109/12,2)</f>
        <v>17.51</v>
      </c>
      <c r="I109" s="85"/>
    </row>
    <row r="110" ht="60" spans="1:9">
      <c r="A110" s="78">
        <v>2</v>
      </c>
      <c r="B110" s="16" t="s">
        <v>286</v>
      </c>
      <c r="C110" s="82" t="s">
        <v>328</v>
      </c>
      <c r="D110" s="16" t="s">
        <v>283</v>
      </c>
      <c r="E110" s="80">
        <v>45.6</v>
      </c>
      <c r="F110" s="16">
        <v>4</v>
      </c>
      <c r="G110" s="81">
        <f t="shared" ref="G110:G123" si="12">TRUNC(F110*E110,2)</f>
        <v>182.4</v>
      </c>
      <c r="H110" s="81">
        <f t="shared" ref="H110:H123" si="13">TRUNC(G110/12,2)</f>
        <v>15.2</v>
      </c>
      <c r="I110" s="85"/>
    </row>
    <row r="111" ht="60" spans="1:9">
      <c r="A111" s="78">
        <v>3</v>
      </c>
      <c r="B111" s="16" t="s">
        <v>286</v>
      </c>
      <c r="C111" s="84" t="s">
        <v>288</v>
      </c>
      <c r="D111" s="16" t="s">
        <v>283</v>
      </c>
      <c r="E111" s="80">
        <v>24.99</v>
      </c>
      <c r="F111" s="16">
        <v>4</v>
      </c>
      <c r="G111" s="81">
        <f t="shared" si="12"/>
        <v>99.96</v>
      </c>
      <c r="H111" s="81">
        <f t="shared" si="13"/>
        <v>8.33</v>
      </c>
      <c r="I111" s="85"/>
    </row>
    <row r="112" ht="30" spans="1:9">
      <c r="A112" s="78">
        <v>4</v>
      </c>
      <c r="B112" s="83" t="s">
        <v>307</v>
      </c>
      <c r="C112" s="82" t="s">
        <v>308</v>
      </c>
      <c r="D112" s="16" t="s">
        <v>283</v>
      </c>
      <c r="E112" s="80">
        <v>11.23</v>
      </c>
      <c r="F112" s="16">
        <v>2</v>
      </c>
      <c r="G112" s="81">
        <f t="shared" si="12"/>
        <v>22.46</v>
      </c>
      <c r="H112" s="81">
        <f t="shared" si="13"/>
        <v>1.87</v>
      </c>
      <c r="I112" s="85"/>
    </row>
    <row r="113" ht="90" spans="1:9">
      <c r="A113" s="78">
        <v>5</v>
      </c>
      <c r="B113" s="83" t="s">
        <v>301</v>
      </c>
      <c r="C113" s="82" t="s">
        <v>302</v>
      </c>
      <c r="D113" s="16" t="s">
        <v>291</v>
      </c>
      <c r="E113" s="80">
        <v>23.36</v>
      </c>
      <c r="F113" s="16">
        <v>2</v>
      </c>
      <c r="G113" s="81">
        <f t="shared" si="12"/>
        <v>46.72</v>
      </c>
      <c r="H113" s="81">
        <f t="shared" si="13"/>
        <v>3.89</v>
      </c>
      <c r="I113" s="85"/>
    </row>
    <row r="114" ht="60" spans="1:9">
      <c r="A114" s="78">
        <v>6</v>
      </c>
      <c r="B114" s="16" t="s">
        <v>289</v>
      </c>
      <c r="C114" s="82" t="s">
        <v>329</v>
      </c>
      <c r="D114" s="16" t="s">
        <v>291</v>
      </c>
      <c r="E114" s="80">
        <v>55.76</v>
      </c>
      <c r="F114" s="16">
        <v>2</v>
      </c>
      <c r="G114" s="81">
        <f t="shared" si="12"/>
        <v>111.52</v>
      </c>
      <c r="H114" s="81">
        <f t="shared" si="13"/>
        <v>9.29</v>
      </c>
      <c r="I114" s="85"/>
    </row>
    <row r="115" ht="45" spans="1:9">
      <c r="A115" s="78">
        <v>7</v>
      </c>
      <c r="B115" s="16" t="s">
        <v>292</v>
      </c>
      <c r="C115" s="82" t="s">
        <v>293</v>
      </c>
      <c r="D115" s="16" t="s">
        <v>291</v>
      </c>
      <c r="E115" s="80">
        <v>8.82</v>
      </c>
      <c r="F115" s="16">
        <v>4</v>
      </c>
      <c r="G115" s="81">
        <f t="shared" si="12"/>
        <v>35.28</v>
      </c>
      <c r="H115" s="81">
        <f t="shared" si="13"/>
        <v>2.94</v>
      </c>
      <c r="I115" s="85"/>
    </row>
    <row r="116" ht="45" spans="1:9">
      <c r="A116" s="78">
        <v>8</v>
      </c>
      <c r="B116" s="16" t="s">
        <v>294</v>
      </c>
      <c r="C116" s="82" t="s">
        <v>295</v>
      </c>
      <c r="D116" s="16" t="s">
        <v>283</v>
      </c>
      <c r="E116" s="80">
        <v>5.8</v>
      </c>
      <c r="F116" s="16">
        <v>1</v>
      </c>
      <c r="G116" s="81">
        <f t="shared" si="12"/>
        <v>5.8</v>
      </c>
      <c r="H116" s="81">
        <f t="shared" si="13"/>
        <v>0.48</v>
      </c>
      <c r="I116" s="85"/>
    </row>
    <row r="117" ht="60" spans="1:9">
      <c r="A117" s="78">
        <v>9</v>
      </c>
      <c r="B117" s="16" t="s">
        <v>310</v>
      </c>
      <c r="C117" s="82" t="s">
        <v>331</v>
      </c>
      <c r="D117" s="16" t="s">
        <v>283</v>
      </c>
      <c r="E117" s="80">
        <v>36.92</v>
      </c>
      <c r="F117" s="16">
        <v>1</v>
      </c>
      <c r="G117" s="81">
        <f t="shared" si="12"/>
        <v>36.92</v>
      </c>
      <c r="H117" s="81">
        <f t="shared" si="13"/>
        <v>3.07</v>
      </c>
      <c r="I117" s="85"/>
    </row>
    <row r="118" ht="60" spans="1:9">
      <c r="A118" s="78">
        <v>10</v>
      </c>
      <c r="B118" s="16" t="s">
        <v>312</v>
      </c>
      <c r="C118" s="82" t="s">
        <v>313</v>
      </c>
      <c r="D118" s="16" t="s">
        <v>314</v>
      </c>
      <c r="E118" s="80">
        <v>222.4</v>
      </c>
      <c r="F118" s="16">
        <v>1</v>
      </c>
      <c r="G118" s="81">
        <f t="shared" si="12"/>
        <v>222.4</v>
      </c>
      <c r="H118" s="81">
        <f t="shared" si="13"/>
        <v>18.53</v>
      </c>
      <c r="I118" s="85"/>
    </row>
    <row r="119" ht="60" spans="1:9">
      <c r="A119" s="78">
        <v>11</v>
      </c>
      <c r="B119" s="16" t="s">
        <v>315</v>
      </c>
      <c r="C119" s="82" t="s">
        <v>317</v>
      </c>
      <c r="D119" s="16" t="s">
        <v>291</v>
      </c>
      <c r="E119" s="80">
        <v>3.8</v>
      </c>
      <c r="F119" s="16">
        <v>6</v>
      </c>
      <c r="G119" s="81">
        <f t="shared" si="12"/>
        <v>22.8</v>
      </c>
      <c r="H119" s="81">
        <f t="shared" si="13"/>
        <v>1.9</v>
      </c>
      <c r="I119" s="85"/>
    </row>
    <row r="120" ht="75" spans="1:9">
      <c r="A120" s="78">
        <v>12</v>
      </c>
      <c r="B120" s="16" t="s">
        <v>318</v>
      </c>
      <c r="C120" s="82" t="s">
        <v>319</v>
      </c>
      <c r="D120" s="16" t="s">
        <v>283</v>
      </c>
      <c r="E120" s="80">
        <v>7</v>
      </c>
      <c r="F120" s="16">
        <v>2</v>
      </c>
      <c r="G120" s="81">
        <f t="shared" si="12"/>
        <v>14</v>
      </c>
      <c r="H120" s="81">
        <f t="shared" si="13"/>
        <v>1.16</v>
      </c>
      <c r="I120" s="85"/>
    </row>
    <row r="121" ht="45" spans="1:9">
      <c r="A121" s="78">
        <v>13</v>
      </c>
      <c r="B121" s="16" t="s">
        <v>320</v>
      </c>
      <c r="C121" s="82" t="s">
        <v>321</v>
      </c>
      <c r="D121" s="16" t="s">
        <v>283</v>
      </c>
      <c r="E121" s="80">
        <v>1.57</v>
      </c>
      <c r="F121" s="16">
        <v>4</v>
      </c>
      <c r="G121" s="81">
        <f t="shared" si="12"/>
        <v>6.28</v>
      </c>
      <c r="H121" s="81">
        <f t="shared" si="13"/>
        <v>0.52</v>
      </c>
      <c r="I121" s="85"/>
    </row>
    <row r="122" ht="30" spans="1:9">
      <c r="A122" s="78">
        <v>14</v>
      </c>
      <c r="B122" s="16" t="s">
        <v>322</v>
      </c>
      <c r="C122" s="82" t="s">
        <v>323</v>
      </c>
      <c r="D122" s="16" t="s">
        <v>283</v>
      </c>
      <c r="E122" s="80">
        <v>28</v>
      </c>
      <c r="F122" s="16">
        <v>4</v>
      </c>
      <c r="G122" s="81">
        <f t="shared" si="12"/>
        <v>112</v>
      </c>
      <c r="H122" s="81">
        <f t="shared" si="13"/>
        <v>9.33</v>
      </c>
      <c r="I122" s="85"/>
    </row>
    <row r="123" ht="105" spans="1:9">
      <c r="A123" s="78">
        <v>15</v>
      </c>
      <c r="B123" s="16" t="s">
        <v>324</v>
      </c>
      <c r="C123" s="82" t="s">
        <v>325</v>
      </c>
      <c r="D123" s="16" t="s">
        <v>283</v>
      </c>
      <c r="E123" s="80">
        <v>3.55</v>
      </c>
      <c r="F123" s="16">
        <v>12</v>
      </c>
      <c r="G123" s="81">
        <f t="shared" si="12"/>
        <v>42.6</v>
      </c>
      <c r="H123" s="81">
        <f t="shared" si="13"/>
        <v>3.55</v>
      </c>
      <c r="I123" s="85"/>
    </row>
    <row r="124" spans="1:9">
      <c r="A124" s="11" t="s">
        <v>190</v>
      </c>
      <c r="B124" s="11"/>
      <c r="C124" s="11"/>
      <c r="D124" s="11"/>
      <c r="E124" s="11"/>
      <c r="F124" s="11"/>
      <c r="G124" s="91">
        <f>TRUNC(SUM(H109:H123),2)</f>
        <v>97.57</v>
      </c>
      <c r="H124" s="91"/>
      <c r="I124" s="85"/>
    </row>
    <row r="125" spans="1:9">
      <c r="A125" s="85"/>
      <c r="B125" s="78"/>
      <c r="C125" s="85"/>
      <c r="D125" s="86"/>
      <c r="E125" s="85"/>
      <c r="F125" s="85"/>
      <c r="G125" s="85"/>
      <c r="H125" s="85"/>
      <c r="I125" s="85"/>
    </row>
    <row r="126" spans="1:9">
      <c r="A126" s="87" t="s">
        <v>303</v>
      </c>
      <c r="B126" s="88"/>
      <c r="C126" s="87"/>
      <c r="D126" s="89"/>
      <c r="E126" s="87"/>
      <c r="F126" s="87"/>
      <c r="G126" s="87"/>
      <c r="H126" s="87"/>
      <c r="I126" s="85"/>
    </row>
    <row r="127" spans="1:9">
      <c r="A127" s="74" t="s">
        <v>333</v>
      </c>
      <c r="B127" s="75"/>
      <c r="C127" s="74"/>
      <c r="D127" s="76"/>
      <c r="E127" s="74"/>
      <c r="F127" s="74"/>
      <c r="G127" s="74"/>
      <c r="H127" s="74"/>
      <c r="I127" s="85"/>
    </row>
    <row r="128" ht="60" spans="1:9">
      <c r="A128" s="90" t="s">
        <v>273</v>
      </c>
      <c r="B128" s="90" t="s">
        <v>274</v>
      </c>
      <c r="C128" s="90" t="s">
        <v>275</v>
      </c>
      <c r="D128" s="90" t="s">
        <v>276</v>
      </c>
      <c r="E128" s="90" t="s">
        <v>277</v>
      </c>
      <c r="F128" s="90" t="s">
        <v>278</v>
      </c>
      <c r="G128" s="90" t="s">
        <v>279</v>
      </c>
      <c r="H128" s="90" t="s">
        <v>280</v>
      </c>
      <c r="I128" s="85"/>
    </row>
    <row r="129" ht="60" spans="1:9">
      <c r="A129" s="78">
        <v>1</v>
      </c>
      <c r="B129" s="16" t="s">
        <v>281</v>
      </c>
      <c r="C129" s="82" t="s">
        <v>327</v>
      </c>
      <c r="D129" s="16" t="s">
        <v>283</v>
      </c>
      <c r="E129" s="80">
        <v>52.53</v>
      </c>
      <c r="F129" s="16">
        <v>4</v>
      </c>
      <c r="G129" s="81">
        <f>TRUNC(F129*E129,2)</f>
        <v>210.12</v>
      </c>
      <c r="H129" s="81">
        <f>TRUNC(G129/12,2)</f>
        <v>17.51</v>
      </c>
      <c r="I129" s="85"/>
    </row>
    <row r="130" ht="60" spans="1:9">
      <c r="A130" s="78">
        <v>2</v>
      </c>
      <c r="B130" s="16" t="s">
        <v>286</v>
      </c>
      <c r="C130" s="82" t="s">
        <v>328</v>
      </c>
      <c r="D130" s="16" t="s">
        <v>283</v>
      </c>
      <c r="E130" s="80">
        <v>45.6</v>
      </c>
      <c r="F130" s="16">
        <v>4</v>
      </c>
      <c r="G130" s="81">
        <f t="shared" ref="G130:G143" si="14">TRUNC(F130*E130,2)</f>
        <v>182.4</v>
      </c>
      <c r="H130" s="81">
        <f t="shared" ref="H130:H143" si="15">TRUNC(G130/12,2)</f>
        <v>15.2</v>
      </c>
      <c r="I130" s="85"/>
    </row>
    <row r="131" ht="60" spans="1:9">
      <c r="A131" s="78">
        <v>3</v>
      </c>
      <c r="B131" s="16" t="s">
        <v>286</v>
      </c>
      <c r="C131" s="84" t="s">
        <v>288</v>
      </c>
      <c r="D131" s="16" t="s">
        <v>283</v>
      </c>
      <c r="E131" s="80">
        <v>24.99</v>
      </c>
      <c r="F131" s="16">
        <v>4</v>
      </c>
      <c r="G131" s="81">
        <f t="shared" si="14"/>
        <v>99.96</v>
      </c>
      <c r="H131" s="81">
        <f t="shared" si="15"/>
        <v>8.33</v>
      </c>
      <c r="I131" s="85"/>
    </row>
    <row r="132" ht="30" spans="1:9">
      <c r="A132" s="78">
        <v>4</v>
      </c>
      <c r="B132" s="83" t="s">
        <v>307</v>
      </c>
      <c r="C132" s="82" t="s">
        <v>308</v>
      </c>
      <c r="D132" s="16" t="s">
        <v>283</v>
      </c>
      <c r="E132" s="80">
        <v>11.23</v>
      </c>
      <c r="F132" s="16">
        <v>2</v>
      </c>
      <c r="G132" s="81">
        <f t="shared" si="14"/>
        <v>22.46</v>
      </c>
      <c r="H132" s="81">
        <f t="shared" si="15"/>
        <v>1.87</v>
      </c>
      <c r="I132" s="85"/>
    </row>
    <row r="133" ht="90" spans="1:9">
      <c r="A133" s="78">
        <v>5</v>
      </c>
      <c r="B133" s="83" t="s">
        <v>301</v>
      </c>
      <c r="C133" s="82" t="s">
        <v>302</v>
      </c>
      <c r="D133" s="16" t="s">
        <v>291</v>
      </c>
      <c r="E133" s="80">
        <v>23.36</v>
      </c>
      <c r="F133" s="16">
        <v>2</v>
      </c>
      <c r="G133" s="81">
        <f t="shared" si="14"/>
        <v>46.72</v>
      </c>
      <c r="H133" s="81">
        <f t="shared" si="15"/>
        <v>3.89</v>
      </c>
      <c r="I133" s="85"/>
    </row>
    <row r="134" ht="105" spans="1:9">
      <c r="A134" s="78">
        <v>6</v>
      </c>
      <c r="B134" s="16" t="s">
        <v>289</v>
      </c>
      <c r="C134" s="82" t="s">
        <v>309</v>
      </c>
      <c r="D134" s="16" t="s">
        <v>291</v>
      </c>
      <c r="E134" s="80">
        <v>55.76</v>
      </c>
      <c r="F134" s="16">
        <v>2</v>
      </c>
      <c r="G134" s="81">
        <f t="shared" si="14"/>
        <v>111.52</v>
      </c>
      <c r="H134" s="81">
        <f t="shared" si="15"/>
        <v>9.29</v>
      </c>
      <c r="I134" s="85"/>
    </row>
    <row r="135" ht="45" spans="1:9">
      <c r="A135" s="78">
        <v>7</v>
      </c>
      <c r="B135" s="16" t="s">
        <v>292</v>
      </c>
      <c r="C135" s="82" t="s">
        <v>293</v>
      </c>
      <c r="D135" s="16" t="s">
        <v>291</v>
      </c>
      <c r="E135" s="80">
        <v>8.82</v>
      </c>
      <c r="F135" s="16">
        <v>4</v>
      </c>
      <c r="G135" s="81">
        <f t="shared" si="14"/>
        <v>35.28</v>
      </c>
      <c r="H135" s="81">
        <f t="shared" si="15"/>
        <v>2.94</v>
      </c>
      <c r="I135" s="85"/>
    </row>
    <row r="136" ht="45" spans="1:9">
      <c r="A136" s="78">
        <v>8</v>
      </c>
      <c r="B136" s="16" t="s">
        <v>294</v>
      </c>
      <c r="C136" s="82" t="s">
        <v>295</v>
      </c>
      <c r="D136" s="16" t="s">
        <v>283</v>
      </c>
      <c r="E136" s="80">
        <v>5.8</v>
      </c>
      <c r="F136" s="16">
        <v>1</v>
      </c>
      <c r="G136" s="81">
        <f t="shared" si="14"/>
        <v>5.8</v>
      </c>
      <c r="H136" s="81">
        <f t="shared" si="15"/>
        <v>0.48</v>
      </c>
      <c r="I136" s="85"/>
    </row>
    <row r="137" ht="60" spans="1:9">
      <c r="A137" s="78">
        <v>9</v>
      </c>
      <c r="B137" s="16" t="s">
        <v>310</v>
      </c>
      <c r="C137" s="82" t="s">
        <v>331</v>
      </c>
      <c r="D137" s="16" t="s">
        <v>283</v>
      </c>
      <c r="E137" s="80">
        <v>36.92</v>
      </c>
      <c r="F137" s="16">
        <v>1</v>
      </c>
      <c r="G137" s="81">
        <f t="shared" si="14"/>
        <v>36.92</v>
      </c>
      <c r="H137" s="81">
        <f t="shared" si="15"/>
        <v>3.07</v>
      </c>
      <c r="I137" s="85"/>
    </row>
    <row r="138" ht="60" spans="1:9">
      <c r="A138" s="78">
        <v>10</v>
      </c>
      <c r="B138" s="16" t="s">
        <v>312</v>
      </c>
      <c r="C138" s="82" t="s">
        <v>313</v>
      </c>
      <c r="D138" s="16" t="s">
        <v>314</v>
      </c>
      <c r="E138" s="80">
        <v>222.4</v>
      </c>
      <c r="F138" s="16">
        <v>1</v>
      </c>
      <c r="G138" s="81">
        <f t="shared" si="14"/>
        <v>222.4</v>
      </c>
      <c r="H138" s="81">
        <f t="shared" si="15"/>
        <v>18.53</v>
      </c>
      <c r="I138" s="85"/>
    </row>
    <row r="139" ht="60" spans="1:9">
      <c r="A139" s="78">
        <v>11</v>
      </c>
      <c r="B139" s="16" t="s">
        <v>315</v>
      </c>
      <c r="C139" s="82" t="s">
        <v>317</v>
      </c>
      <c r="D139" s="16" t="s">
        <v>291</v>
      </c>
      <c r="E139" s="80">
        <v>3.8</v>
      </c>
      <c r="F139" s="16">
        <v>6</v>
      </c>
      <c r="G139" s="81">
        <f t="shared" si="14"/>
        <v>22.8</v>
      </c>
      <c r="H139" s="81">
        <f t="shared" si="15"/>
        <v>1.9</v>
      </c>
      <c r="I139" s="85"/>
    </row>
    <row r="140" ht="75" spans="1:9">
      <c r="A140" s="78">
        <v>12</v>
      </c>
      <c r="B140" s="16" t="s">
        <v>318</v>
      </c>
      <c r="C140" s="82" t="s">
        <v>319</v>
      </c>
      <c r="D140" s="16" t="s">
        <v>283</v>
      </c>
      <c r="E140" s="80">
        <v>7</v>
      </c>
      <c r="F140" s="16">
        <v>2</v>
      </c>
      <c r="G140" s="81">
        <f t="shared" si="14"/>
        <v>14</v>
      </c>
      <c r="H140" s="81">
        <f t="shared" si="15"/>
        <v>1.16</v>
      </c>
      <c r="I140" s="85"/>
    </row>
    <row r="141" ht="45" spans="1:9">
      <c r="A141" s="78">
        <v>13</v>
      </c>
      <c r="B141" s="16" t="s">
        <v>320</v>
      </c>
      <c r="C141" s="82" t="s">
        <v>321</v>
      </c>
      <c r="D141" s="16" t="s">
        <v>283</v>
      </c>
      <c r="E141" s="80">
        <v>1.57</v>
      </c>
      <c r="F141" s="16">
        <v>4</v>
      </c>
      <c r="G141" s="81">
        <f t="shared" si="14"/>
        <v>6.28</v>
      </c>
      <c r="H141" s="81">
        <f t="shared" si="15"/>
        <v>0.52</v>
      </c>
      <c r="I141" s="85"/>
    </row>
    <row r="142" ht="30" spans="1:9">
      <c r="A142" s="78">
        <v>14</v>
      </c>
      <c r="B142" s="16" t="s">
        <v>322</v>
      </c>
      <c r="C142" s="82" t="s">
        <v>323</v>
      </c>
      <c r="D142" s="16" t="s">
        <v>283</v>
      </c>
      <c r="E142" s="80">
        <v>28</v>
      </c>
      <c r="F142" s="16">
        <v>4</v>
      </c>
      <c r="G142" s="81">
        <f t="shared" si="14"/>
        <v>112</v>
      </c>
      <c r="H142" s="81">
        <f t="shared" si="15"/>
        <v>9.33</v>
      </c>
      <c r="I142" s="85"/>
    </row>
    <row r="143" ht="105" spans="1:9">
      <c r="A143" s="78">
        <v>15</v>
      </c>
      <c r="B143" s="16" t="s">
        <v>324</v>
      </c>
      <c r="C143" s="82" t="s">
        <v>325</v>
      </c>
      <c r="D143" s="16" t="s">
        <v>283</v>
      </c>
      <c r="E143" s="80">
        <v>3.55</v>
      </c>
      <c r="F143" s="16">
        <v>12</v>
      </c>
      <c r="G143" s="81">
        <f t="shared" si="14"/>
        <v>42.6</v>
      </c>
      <c r="H143" s="81">
        <f t="shared" si="15"/>
        <v>3.55</v>
      </c>
      <c r="I143" s="85"/>
    </row>
    <row r="144" spans="1:9">
      <c r="A144" s="11" t="s">
        <v>190</v>
      </c>
      <c r="B144" s="11"/>
      <c r="C144" s="11"/>
      <c r="D144" s="11"/>
      <c r="E144" s="11"/>
      <c r="F144" s="11"/>
      <c r="G144" s="91">
        <f>TRUNC(SUM(H129:H143),2)</f>
        <v>97.57</v>
      </c>
      <c r="H144" s="91"/>
      <c r="I144" s="85"/>
    </row>
    <row r="145" spans="1:9">
      <c r="A145" s="85"/>
      <c r="B145" s="78"/>
      <c r="C145" s="85"/>
      <c r="D145" s="86"/>
      <c r="E145" s="85"/>
      <c r="F145" s="85"/>
      <c r="G145" s="85"/>
      <c r="H145" s="85"/>
      <c r="I145" s="85"/>
    </row>
    <row r="146" spans="1:9">
      <c r="A146" s="85"/>
      <c r="B146" s="78"/>
      <c r="C146" s="85"/>
      <c r="D146" s="86"/>
      <c r="E146" s="85"/>
      <c r="F146" s="85"/>
      <c r="G146" s="85"/>
      <c r="H146" s="85"/>
      <c r="I146" s="85"/>
    </row>
    <row r="147" spans="1:9">
      <c r="A147" s="87" t="s">
        <v>303</v>
      </c>
      <c r="B147" s="88"/>
      <c r="C147" s="87"/>
      <c r="D147" s="89"/>
      <c r="E147" s="87"/>
      <c r="F147" s="87"/>
      <c r="G147" s="87"/>
      <c r="H147" s="87"/>
      <c r="I147" s="85"/>
    </row>
    <row r="148" spans="1:9">
      <c r="A148" s="74" t="s">
        <v>334</v>
      </c>
      <c r="B148" s="75"/>
      <c r="C148" s="74"/>
      <c r="D148" s="76"/>
      <c r="E148" s="74"/>
      <c r="F148" s="74"/>
      <c r="G148" s="74"/>
      <c r="H148" s="74"/>
      <c r="I148" s="85"/>
    </row>
    <row r="149" ht="60" spans="1:9">
      <c r="A149" s="90" t="s">
        <v>273</v>
      </c>
      <c r="B149" s="90" t="s">
        <v>274</v>
      </c>
      <c r="C149" s="90" t="s">
        <v>275</v>
      </c>
      <c r="D149" s="90" t="s">
        <v>276</v>
      </c>
      <c r="E149" s="90" t="s">
        <v>277</v>
      </c>
      <c r="F149" s="90" t="s">
        <v>278</v>
      </c>
      <c r="G149" s="90" t="s">
        <v>279</v>
      </c>
      <c r="H149" s="90" t="s">
        <v>280</v>
      </c>
      <c r="I149" s="85"/>
    </row>
    <row r="150" ht="60" spans="1:9">
      <c r="A150" s="78">
        <v>1</v>
      </c>
      <c r="B150" s="16" t="s">
        <v>281</v>
      </c>
      <c r="C150" s="82" t="s">
        <v>327</v>
      </c>
      <c r="D150" s="16" t="s">
        <v>283</v>
      </c>
      <c r="E150" s="80">
        <v>52.53</v>
      </c>
      <c r="F150" s="16">
        <v>4</v>
      </c>
      <c r="G150" s="81">
        <f>TRUNC(F150*E150,2)</f>
        <v>210.12</v>
      </c>
      <c r="H150" s="81">
        <f>TRUNC(G150/12,2)</f>
        <v>17.51</v>
      </c>
      <c r="I150" s="85"/>
    </row>
    <row r="151" ht="60" spans="1:9">
      <c r="A151" s="78">
        <v>2</v>
      </c>
      <c r="B151" s="16" t="s">
        <v>286</v>
      </c>
      <c r="C151" s="82" t="s">
        <v>328</v>
      </c>
      <c r="D151" s="16" t="s">
        <v>283</v>
      </c>
      <c r="E151" s="80">
        <v>45.6</v>
      </c>
      <c r="F151" s="16">
        <v>4</v>
      </c>
      <c r="G151" s="81">
        <f t="shared" ref="G151:G162" si="16">TRUNC(F151*E151,2)</f>
        <v>182.4</v>
      </c>
      <c r="H151" s="81">
        <f t="shared" ref="H151:H162" si="17">TRUNC(G151/12,2)</f>
        <v>15.2</v>
      </c>
      <c r="I151" s="85"/>
    </row>
    <row r="152" ht="60" spans="1:9">
      <c r="A152" s="78">
        <v>3</v>
      </c>
      <c r="B152" s="16" t="s">
        <v>286</v>
      </c>
      <c r="C152" s="84" t="s">
        <v>288</v>
      </c>
      <c r="D152" s="16" t="s">
        <v>283</v>
      </c>
      <c r="E152" s="80">
        <v>24.99</v>
      </c>
      <c r="F152" s="16">
        <v>4</v>
      </c>
      <c r="G152" s="81">
        <f t="shared" si="16"/>
        <v>99.96</v>
      </c>
      <c r="H152" s="81">
        <f t="shared" si="17"/>
        <v>8.33</v>
      </c>
      <c r="I152" s="85"/>
    </row>
    <row r="153" ht="30" spans="1:9">
      <c r="A153" s="78">
        <v>4</v>
      </c>
      <c r="B153" s="83" t="s">
        <v>307</v>
      </c>
      <c r="C153" s="82" t="s">
        <v>308</v>
      </c>
      <c r="D153" s="16" t="s">
        <v>283</v>
      </c>
      <c r="E153" s="80">
        <v>11.23</v>
      </c>
      <c r="F153" s="16">
        <v>2</v>
      </c>
      <c r="G153" s="81">
        <f t="shared" si="16"/>
        <v>22.46</v>
      </c>
      <c r="H153" s="81">
        <f t="shared" si="17"/>
        <v>1.87</v>
      </c>
      <c r="I153" s="85"/>
    </row>
    <row r="154" ht="90" spans="1:9">
      <c r="A154" s="78">
        <v>5</v>
      </c>
      <c r="B154" s="83" t="s">
        <v>301</v>
      </c>
      <c r="C154" s="82" t="s">
        <v>302</v>
      </c>
      <c r="D154" s="16" t="s">
        <v>291</v>
      </c>
      <c r="E154" s="80">
        <v>23.36</v>
      </c>
      <c r="F154" s="16">
        <v>2</v>
      </c>
      <c r="G154" s="81">
        <f t="shared" si="16"/>
        <v>46.72</v>
      </c>
      <c r="H154" s="81">
        <f t="shared" si="17"/>
        <v>3.89</v>
      </c>
      <c r="I154" s="85"/>
    </row>
    <row r="155" ht="60" spans="1:9">
      <c r="A155" s="78">
        <v>6</v>
      </c>
      <c r="B155" s="16" t="s">
        <v>289</v>
      </c>
      <c r="C155" s="82" t="s">
        <v>329</v>
      </c>
      <c r="D155" s="16" t="s">
        <v>291</v>
      </c>
      <c r="E155" s="80">
        <v>55.76</v>
      </c>
      <c r="F155" s="16">
        <v>2</v>
      </c>
      <c r="G155" s="81">
        <f t="shared" si="16"/>
        <v>111.52</v>
      </c>
      <c r="H155" s="81">
        <f t="shared" si="17"/>
        <v>9.29</v>
      </c>
      <c r="I155" s="85"/>
    </row>
    <row r="156" ht="105" spans="1:9">
      <c r="A156" s="78">
        <v>7</v>
      </c>
      <c r="B156" s="16" t="s">
        <v>289</v>
      </c>
      <c r="C156" s="82" t="s">
        <v>330</v>
      </c>
      <c r="D156" s="16" t="s">
        <v>291</v>
      </c>
      <c r="E156" s="80">
        <v>35.16</v>
      </c>
      <c r="F156" s="16">
        <v>1</v>
      </c>
      <c r="G156" s="81">
        <f t="shared" si="16"/>
        <v>35.16</v>
      </c>
      <c r="H156" s="81">
        <f t="shared" si="17"/>
        <v>2.93</v>
      </c>
      <c r="I156" s="85"/>
    </row>
    <row r="157" ht="45" spans="1:9">
      <c r="A157" s="78">
        <v>8</v>
      </c>
      <c r="B157" s="16" t="s">
        <v>292</v>
      </c>
      <c r="C157" s="82" t="s">
        <v>293</v>
      </c>
      <c r="D157" s="16" t="s">
        <v>291</v>
      </c>
      <c r="E157" s="80">
        <v>8.82</v>
      </c>
      <c r="F157" s="16">
        <v>4</v>
      </c>
      <c r="G157" s="81">
        <f t="shared" si="16"/>
        <v>35.28</v>
      </c>
      <c r="H157" s="81">
        <f t="shared" si="17"/>
        <v>2.94</v>
      </c>
      <c r="I157" s="85"/>
    </row>
    <row r="158" ht="45" spans="1:9">
      <c r="A158" s="78">
        <v>9</v>
      </c>
      <c r="B158" s="16" t="s">
        <v>294</v>
      </c>
      <c r="C158" s="82" t="s">
        <v>295</v>
      </c>
      <c r="D158" s="16" t="s">
        <v>283</v>
      </c>
      <c r="E158" s="80">
        <v>5.8</v>
      </c>
      <c r="F158" s="16">
        <v>1</v>
      </c>
      <c r="G158" s="81">
        <f t="shared" si="16"/>
        <v>5.8</v>
      </c>
      <c r="H158" s="81">
        <f t="shared" si="17"/>
        <v>0.48</v>
      </c>
      <c r="I158" s="85"/>
    </row>
    <row r="159" ht="60" spans="1:9">
      <c r="A159" s="78">
        <v>10</v>
      </c>
      <c r="B159" s="16" t="s">
        <v>315</v>
      </c>
      <c r="C159" s="82" t="s">
        <v>317</v>
      </c>
      <c r="D159" s="16" t="s">
        <v>291</v>
      </c>
      <c r="E159" s="80">
        <v>3.8</v>
      </c>
      <c r="F159" s="16">
        <v>4</v>
      </c>
      <c r="G159" s="81">
        <f t="shared" si="16"/>
        <v>15.2</v>
      </c>
      <c r="H159" s="81">
        <f t="shared" si="17"/>
        <v>1.26</v>
      </c>
      <c r="I159" s="85"/>
    </row>
    <row r="160" ht="75" spans="1:9">
      <c r="A160" s="78">
        <v>11</v>
      </c>
      <c r="B160" s="16" t="s">
        <v>318</v>
      </c>
      <c r="C160" s="82" t="s">
        <v>319</v>
      </c>
      <c r="D160" s="16" t="s">
        <v>283</v>
      </c>
      <c r="E160" s="80">
        <v>7</v>
      </c>
      <c r="F160" s="16">
        <v>2</v>
      </c>
      <c r="G160" s="81">
        <f t="shared" si="16"/>
        <v>14</v>
      </c>
      <c r="H160" s="81">
        <f t="shared" si="17"/>
        <v>1.16</v>
      </c>
      <c r="I160" s="85"/>
    </row>
    <row r="161" ht="75" spans="1:9">
      <c r="A161" s="78">
        <v>12</v>
      </c>
      <c r="B161" s="16" t="s">
        <v>335</v>
      </c>
      <c r="C161" s="82" t="s">
        <v>336</v>
      </c>
      <c r="D161" s="16" t="s">
        <v>283</v>
      </c>
      <c r="E161" s="80">
        <v>20.23</v>
      </c>
      <c r="F161" s="16">
        <v>1</v>
      </c>
      <c r="G161" s="81">
        <f t="shared" si="16"/>
        <v>20.23</v>
      </c>
      <c r="H161" s="81">
        <f t="shared" si="17"/>
        <v>1.68</v>
      </c>
      <c r="I161" s="85"/>
    </row>
    <row r="162" ht="30" spans="1:9">
      <c r="A162" s="78">
        <v>13</v>
      </c>
      <c r="B162" s="16" t="s">
        <v>322</v>
      </c>
      <c r="C162" s="82" t="s">
        <v>323</v>
      </c>
      <c r="D162" s="16" t="s">
        <v>283</v>
      </c>
      <c r="E162" s="80">
        <v>28</v>
      </c>
      <c r="F162" s="16">
        <v>4</v>
      </c>
      <c r="G162" s="81">
        <f t="shared" si="16"/>
        <v>112</v>
      </c>
      <c r="H162" s="81">
        <f t="shared" si="17"/>
        <v>9.33</v>
      </c>
      <c r="I162" s="85"/>
    </row>
    <row r="163" spans="1:9">
      <c r="A163" s="11" t="s">
        <v>190</v>
      </c>
      <c r="B163" s="11"/>
      <c r="C163" s="11"/>
      <c r="D163" s="11"/>
      <c r="E163" s="11"/>
      <c r="F163" s="11"/>
      <c r="G163" s="91">
        <f>TRUNC(SUM(H150:H162),2)</f>
        <v>75.87</v>
      </c>
      <c r="H163" s="91"/>
      <c r="I163" s="85"/>
    </row>
    <row r="164" spans="1:9">
      <c r="A164" s="85"/>
      <c r="B164" s="78"/>
      <c r="C164" s="85"/>
      <c r="D164" s="86"/>
      <c r="E164" s="85"/>
      <c r="F164" s="85"/>
      <c r="G164" s="85"/>
      <c r="H164" s="85"/>
      <c r="I164" s="85"/>
    </row>
    <row r="165" spans="1:9">
      <c r="A165" s="85"/>
      <c r="B165" s="78"/>
      <c r="C165" s="85"/>
      <c r="D165" s="86"/>
      <c r="E165" s="85"/>
      <c r="F165" s="85"/>
      <c r="G165" s="85"/>
      <c r="H165" s="85"/>
      <c r="I165" s="85"/>
    </row>
    <row r="166" spans="1:9">
      <c r="A166" s="85"/>
      <c r="B166" s="78"/>
      <c r="C166" s="85"/>
      <c r="D166" s="86"/>
      <c r="E166" s="85"/>
      <c r="F166" s="85"/>
      <c r="G166" s="85"/>
      <c r="H166" s="85"/>
      <c r="I166" s="85"/>
    </row>
    <row r="167" spans="1:9">
      <c r="A167" s="85"/>
      <c r="B167" s="78"/>
      <c r="C167" s="85"/>
      <c r="D167" s="86"/>
      <c r="E167" s="85"/>
      <c r="F167" s="85"/>
      <c r="G167" s="85"/>
      <c r="H167" s="85"/>
      <c r="I167" s="85"/>
    </row>
    <row r="168" spans="1:8">
      <c r="A168" s="92"/>
      <c r="B168" s="93"/>
      <c r="C168" s="92"/>
      <c r="D168" s="94"/>
      <c r="E168" s="92"/>
      <c r="F168" s="92"/>
      <c r="G168" s="92"/>
      <c r="H168" s="95"/>
    </row>
    <row r="169" spans="1:8">
      <c r="A169" s="92"/>
      <c r="B169" s="93"/>
      <c r="C169" s="92"/>
      <c r="D169" s="94"/>
      <c r="E169" s="92"/>
      <c r="F169" s="92"/>
      <c r="G169" s="92"/>
      <c r="H169" s="92"/>
    </row>
    <row r="170" spans="1:8">
      <c r="A170" s="92"/>
      <c r="B170" s="93"/>
      <c r="C170" s="92"/>
      <c r="D170" s="94"/>
      <c r="E170" s="92"/>
      <c r="F170" s="92"/>
      <c r="G170" s="92"/>
      <c r="H170" s="92"/>
    </row>
    <row r="171" spans="1:8">
      <c r="A171" s="92"/>
      <c r="B171" s="93"/>
      <c r="C171" s="92"/>
      <c r="D171" s="94"/>
      <c r="E171" s="92"/>
      <c r="F171" s="92"/>
      <c r="G171" s="92"/>
      <c r="H171" s="92"/>
    </row>
    <row r="172" spans="1:8">
      <c r="A172" s="92"/>
      <c r="B172" s="93"/>
      <c r="C172" s="92"/>
      <c r="D172" s="94"/>
      <c r="E172" s="92"/>
      <c r="F172" s="92"/>
      <c r="G172" s="92"/>
      <c r="H172" s="92"/>
    </row>
    <row r="173" spans="1:8">
      <c r="A173" s="92"/>
      <c r="B173" s="93"/>
      <c r="C173" s="92"/>
      <c r="D173" s="94"/>
      <c r="E173" s="92"/>
      <c r="F173" s="92"/>
      <c r="G173" s="92"/>
      <c r="H173" s="92"/>
    </row>
    <row r="174" spans="1:8">
      <c r="A174" s="92"/>
      <c r="B174" s="93"/>
      <c r="C174" s="92"/>
      <c r="D174" s="94"/>
      <c r="E174" s="92"/>
      <c r="F174" s="92"/>
      <c r="G174" s="92"/>
      <c r="H174" s="92"/>
    </row>
    <row r="175" spans="1:8">
      <c r="A175" s="92"/>
      <c r="B175" s="93"/>
      <c r="C175" s="92"/>
      <c r="D175" s="94"/>
      <c r="E175" s="92"/>
      <c r="F175" s="92"/>
      <c r="G175" s="92"/>
      <c r="H175" s="92"/>
    </row>
    <row r="176" spans="1:8">
      <c r="A176" s="92"/>
      <c r="B176" s="93"/>
      <c r="C176" s="92"/>
      <c r="D176" s="94"/>
      <c r="E176" s="92"/>
      <c r="F176" s="92"/>
      <c r="G176" s="92"/>
      <c r="H176" s="92"/>
    </row>
    <row r="177" spans="1:8">
      <c r="A177" s="92"/>
      <c r="B177" s="93"/>
      <c r="C177" s="92"/>
      <c r="D177" s="94"/>
      <c r="E177" s="92"/>
      <c r="F177" s="92"/>
      <c r="G177" s="92"/>
      <c r="H177" s="92"/>
    </row>
    <row r="178" spans="1:8">
      <c r="A178" s="92"/>
      <c r="B178" s="93"/>
      <c r="C178" s="92"/>
      <c r="D178" s="94"/>
      <c r="E178" s="92"/>
      <c r="F178" s="92"/>
      <c r="G178" s="92"/>
      <c r="H178" s="92"/>
    </row>
    <row r="179" spans="1:8">
      <c r="A179" s="92"/>
      <c r="B179" s="93"/>
      <c r="C179" s="92"/>
      <c r="D179" s="94"/>
      <c r="E179" s="92"/>
      <c r="F179" s="92"/>
      <c r="G179" s="92"/>
      <c r="H179" s="92"/>
    </row>
    <row r="180" spans="1:8">
      <c r="A180" s="92"/>
      <c r="B180" s="93"/>
      <c r="C180" s="92"/>
      <c r="D180" s="94"/>
      <c r="E180" s="92"/>
      <c r="F180" s="92"/>
      <c r="G180" s="92"/>
      <c r="H180" s="92"/>
    </row>
    <row r="181" spans="1:8">
      <c r="A181" s="92"/>
      <c r="B181" s="93"/>
      <c r="C181" s="92"/>
      <c r="D181" s="94"/>
      <c r="E181" s="92"/>
      <c r="F181" s="92"/>
      <c r="G181" s="92"/>
      <c r="H181" s="92"/>
    </row>
    <row r="182" spans="1:8">
      <c r="A182" s="92"/>
      <c r="B182" s="93"/>
      <c r="C182" s="92"/>
      <c r="D182" s="94"/>
      <c r="E182" s="92"/>
      <c r="F182" s="92"/>
      <c r="G182" s="92"/>
      <c r="H182" s="92"/>
    </row>
    <row r="183" spans="1:8">
      <c r="A183" s="92"/>
      <c r="B183" s="93"/>
      <c r="C183" s="92"/>
      <c r="D183" s="94"/>
      <c r="E183" s="92"/>
      <c r="F183" s="92"/>
      <c r="G183" s="92"/>
      <c r="H183" s="92"/>
    </row>
    <row r="184" spans="1:8">
      <c r="A184" s="92"/>
      <c r="B184" s="93"/>
      <c r="C184" s="92"/>
      <c r="D184" s="94"/>
      <c r="E184" s="92"/>
      <c r="F184" s="92"/>
      <c r="G184" s="92"/>
      <c r="H184" s="92"/>
    </row>
    <row r="185" spans="1:8">
      <c r="A185" s="92"/>
      <c r="B185" s="93"/>
      <c r="C185" s="92"/>
      <c r="D185" s="94"/>
      <c r="E185" s="92"/>
      <c r="F185" s="92"/>
      <c r="G185" s="92"/>
      <c r="H185" s="92"/>
    </row>
    <row r="186" spans="1:8">
      <c r="A186" s="92"/>
      <c r="B186" s="93"/>
      <c r="C186" s="92"/>
      <c r="D186" s="94"/>
      <c r="E186" s="92"/>
      <c r="F186" s="92"/>
      <c r="G186" s="92"/>
      <c r="H186" s="92"/>
    </row>
  </sheetData>
  <mergeCells count="36">
    <mergeCell ref="A1:H1"/>
    <mergeCell ref="A2:H2"/>
    <mergeCell ref="A11:F11"/>
    <mergeCell ref="G11:H11"/>
    <mergeCell ref="A14:H14"/>
    <mergeCell ref="A15:H15"/>
    <mergeCell ref="A24:F24"/>
    <mergeCell ref="G24:H24"/>
    <mergeCell ref="A27:H27"/>
    <mergeCell ref="A28:H28"/>
    <mergeCell ref="A37:F37"/>
    <mergeCell ref="G37:H37"/>
    <mergeCell ref="A40:H40"/>
    <mergeCell ref="A41:H41"/>
    <mergeCell ref="A59:F59"/>
    <mergeCell ref="G59:H59"/>
    <mergeCell ref="A62:H62"/>
    <mergeCell ref="A63:H63"/>
    <mergeCell ref="A81:F81"/>
    <mergeCell ref="G81:H81"/>
    <mergeCell ref="A84:H84"/>
    <mergeCell ref="A85:H85"/>
    <mergeCell ref="A103:F103"/>
    <mergeCell ref="G103:H103"/>
    <mergeCell ref="A106:H106"/>
    <mergeCell ref="A107:H107"/>
    <mergeCell ref="A124:F124"/>
    <mergeCell ref="G124:H124"/>
    <mergeCell ref="A126:H126"/>
    <mergeCell ref="A127:H127"/>
    <mergeCell ref="A144:F144"/>
    <mergeCell ref="G144:H144"/>
    <mergeCell ref="A147:H147"/>
    <mergeCell ref="A148:H148"/>
    <mergeCell ref="A163:F163"/>
    <mergeCell ref="G163:H163"/>
  </mergeCells>
  <pageMargins left="0.75" right="0.75" top="1" bottom="1" header="0.5" footer="0.5"/>
  <pageSetup paperSize="9" orientation="portrait"/>
  <headerFooter/>
  <tableParts count="4">
    <tablePart r:id="rId1"/>
    <tablePart r:id="rId2"/>
    <tablePart r:id="rId3"/>
    <tablePart r:id="rId4"/>
  </tablePar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5"/>
  <sheetViews>
    <sheetView workbookViewId="0">
      <selection activeCell="F121" sqref="F121"/>
    </sheetView>
  </sheetViews>
  <sheetFormatPr defaultColWidth="8.88571428571429" defaultRowHeight="15" outlineLevelCol="6"/>
  <cols>
    <col min="2" max="2" width="28.7142857142857" customWidth="1"/>
    <col min="3" max="3" width="30.7142857142857" customWidth="1"/>
    <col min="4" max="4" width="16.1428571428571" customWidth="1"/>
    <col min="5" max="5" width="12.7142857142857" customWidth="1"/>
    <col min="6" max="6" width="15.4285714285714" customWidth="1"/>
    <col min="7" max="7" width="12.552380952381" customWidth="1"/>
  </cols>
  <sheetData>
    <row r="1" spans="1:7">
      <c r="A1" s="22" t="s">
        <v>337</v>
      </c>
      <c r="B1" s="22"/>
      <c r="C1" s="22" t="s">
        <v>142</v>
      </c>
      <c r="D1" s="23"/>
      <c r="E1" s="22"/>
      <c r="F1" s="22"/>
      <c r="G1" s="22"/>
    </row>
    <row r="2" ht="45" spans="1:7">
      <c r="A2" s="4" t="s">
        <v>2</v>
      </c>
      <c r="B2" s="4" t="s">
        <v>338</v>
      </c>
      <c r="C2" s="4" t="s">
        <v>3</v>
      </c>
      <c r="D2" s="24" t="s">
        <v>339</v>
      </c>
      <c r="E2" s="4" t="s">
        <v>340</v>
      </c>
      <c r="F2" s="4" t="s">
        <v>341</v>
      </c>
      <c r="G2" s="4" t="s">
        <v>342</v>
      </c>
    </row>
    <row r="3" ht="45" spans="1:7">
      <c r="A3" s="24">
        <v>1</v>
      </c>
      <c r="B3" s="24" t="s">
        <v>343</v>
      </c>
      <c r="C3" s="25" t="s">
        <v>344</v>
      </c>
      <c r="D3" s="26">
        <v>64.34</v>
      </c>
      <c r="E3" s="27">
        <v>1</v>
      </c>
      <c r="F3" s="28">
        <f>Table43_2[[#This Row],[Quantidade Anual]]*Table43_2[[#This Row],[Valor Médio Unitário (R$)]]/2</f>
        <v>32.17</v>
      </c>
      <c r="G3" s="28">
        <f>Table43_2[[#This Row],[Valor Anual/ Empregado (R$)]]/12</f>
        <v>2.68083333333333</v>
      </c>
    </row>
    <row r="4" ht="90" spans="1:7">
      <c r="A4" s="24">
        <v>2</v>
      </c>
      <c r="B4" s="24" t="s">
        <v>345</v>
      </c>
      <c r="C4" s="25" t="s">
        <v>346</v>
      </c>
      <c r="D4" s="29">
        <v>1.44</v>
      </c>
      <c r="E4" s="27">
        <v>4</v>
      </c>
      <c r="F4" s="28">
        <f>Table43_2[[#This Row],[Quantidade Anual]]*Table43_2[[#This Row],[Valor Médio Unitário (R$)]]/2</f>
        <v>2.88</v>
      </c>
      <c r="G4" s="28">
        <f>Table43_2[[#This Row],[Valor Anual/ Empregado (R$)]]/12</f>
        <v>0.24</v>
      </c>
    </row>
    <row r="5" ht="45" spans="1:7">
      <c r="A5" s="24">
        <v>3</v>
      </c>
      <c r="B5" s="30" t="s">
        <v>347</v>
      </c>
      <c r="C5" s="25" t="s">
        <v>348</v>
      </c>
      <c r="D5" s="29">
        <v>43.9</v>
      </c>
      <c r="E5" s="27">
        <v>1</v>
      </c>
      <c r="F5" s="28">
        <f>Table43_2[[#This Row],[Quantidade Anual]]*Table43_2[[#This Row],[Valor Médio Unitário (R$)]]/2</f>
        <v>21.95</v>
      </c>
      <c r="G5" s="28">
        <f>Table43_2[[#This Row],[Valor Anual/ Empregado (R$)]]/12</f>
        <v>1.82916666666667</v>
      </c>
    </row>
    <row r="6" spans="1:7">
      <c r="A6" s="5" t="s">
        <v>44</v>
      </c>
      <c r="B6" s="5"/>
      <c r="C6" s="5"/>
      <c r="D6" s="31"/>
      <c r="E6" s="5"/>
      <c r="F6" s="5"/>
      <c r="G6" s="32">
        <f>SUBTOTAL(109,Table43_2[Valor Mensal/ Empregado])</f>
        <v>4.75</v>
      </c>
    </row>
    <row r="9" spans="1:6">
      <c r="A9" s="33" t="s">
        <v>349</v>
      </c>
      <c r="B9" s="33"/>
      <c r="C9" s="33"/>
      <c r="D9" s="33"/>
      <c r="E9" s="33"/>
      <c r="F9" s="33"/>
    </row>
    <row r="10" ht="30" spans="1:6">
      <c r="A10" s="34" t="s">
        <v>273</v>
      </c>
      <c r="B10" s="34" t="s">
        <v>275</v>
      </c>
      <c r="C10" s="34" t="s">
        <v>276</v>
      </c>
      <c r="D10" s="35" t="s">
        <v>350</v>
      </c>
      <c r="E10" s="34" t="s">
        <v>243</v>
      </c>
      <c r="F10" s="34" t="s">
        <v>244</v>
      </c>
    </row>
    <row r="11" spans="1:6">
      <c r="A11" s="36">
        <v>1</v>
      </c>
      <c r="B11" s="37" t="s">
        <v>351</v>
      </c>
      <c r="C11" s="36" t="s">
        <v>352</v>
      </c>
      <c r="D11" s="38">
        <v>2</v>
      </c>
      <c r="E11" s="39">
        <v>28.4</v>
      </c>
      <c r="F11" s="40">
        <f>TRUNC(E11*D11,2)</f>
        <v>56.8</v>
      </c>
    </row>
    <row r="12" spans="1:6">
      <c r="A12" s="36">
        <v>2</v>
      </c>
      <c r="B12" s="37" t="s">
        <v>353</v>
      </c>
      <c r="C12" s="36" t="s">
        <v>352</v>
      </c>
      <c r="D12" s="38">
        <v>2</v>
      </c>
      <c r="E12" s="39">
        <v>51.65</v>
      </c>
      <c r="F12" s="40">
        <f t="shared" ref="F12:F43" si="0">TRUNC(E12*D12,2)</f>
        <v>103.3</v>
      </c>
    </row>
    <row r="13" spans="1:6">
      <c r="A13" s="36">
        <v>3</v>
      </c>
      <c r="B13" s="37" t="s">
        <v>354</v>
      </c>
      <c r="C13" s="36" t="s">
        <v>352</v>
      </c>
      <c r="D13" s="38">
        <v>1</v>
      </c>
      <c r="E13" s="39">
        <v>35.19</v>
      </c>
      <c r="F13" s="40">
        <f t="shared" si="0"/>
        <v>35.19</v>
      </c>
    </row>
    <row r="14" spans="1:6">
      <c r="A14" s="36">
        <v>4</v>
      </c>
      <c r="B14" s="37" t="s">
        <v>355</v>
      </c>
      <c r="C14" s="36" t="s">
        <v>352</v>
      </c>
      <c r="D14" s="38">
        <v>2</v>
      </c>
      <c r="E14" s="39">
        <v>60.75</v>
      </c>
      <c r="F14" s="40">
        <f t="shared" si="0"/>
        <v>121.5</v>
      </c>
    </row>
    <row r="15" spans="1:6">
      <c r="A15" s="36">
        <v>5</v>
      </c>
      <c r="B15" s="37" t="s">
        <v>356</v>
      </c>
      <c r="C15" s="36" t="s">
        <v>352</v>
      </c>
      <c r="D15" s="38">
        <v>2</v>
      </c>
      <c r="E15" s="39">
        <v>14</v>
      </c>
      <c r="F15" s="40">
        <f t="shared" si="0"/>
        <v>28</v>
      </c>
    </row>
    <row r="16" spans="1:6">
      <c r="A16" s="36">
        <v>6</v>
      </c>
      <c r="B16" s="37" t="s">
        <v>357</v>
      </c>
      <c r="C16" s="36" t="s">
        <v>352</v>
      </c>
      <c r="D16" s="38">
        <v>2</v>
      </c>
      <c r="E16" s="39">
        <v>11.38</v>
      </c>
      <c r="F16" s="40">
        <f t="shared" si="0"/>
        <v>22.76</v>
      </c>
    </row>
    <row r="17" spans="1:6">
      <c r="A17" s="36">
        <v>7</v>
      </c>
      <c r="B17" s="37" t="s">
        <v>358</v>
      </c>
      <c r="C17" s="36" t="s">
        <v>352</v>
      </c>
      <c r="D17" s="38">
        <v>2</v>
      </c>
      <c r="E17" s="39">
        <v>12.87</v>
      </c>
      <c r="F17" s="40">
        <f t="shared" si="0"/>
        <v>25.74</v>
      </c>
    </row>
    <row r="18" spans="1:6">
      <c r="A18" s="36">
        <v>8</v>
      </c>
      <c r="B18" s="37" t="s">
        <v>359</v>
      </c>
      <c r="C18" s="36" t="s">
        <v>352</v>
      </c>
      <c r="D18" s="38">
        <v>2</v>
      </c>
      <c r="E18" s="39">
        <v>27.23</v>
      </c>
      <c r="F18" s="40">
        <f t="shared" si="0"/>
        <v>54.46</v>
      </c>
    </row>
    <row r="19" spans="1:6">
      <c r="A19" s="36">
        <v>9</v>
      </c>
      <c r="B19" s="37" t="s">
        <v>360</v>
      </c>
      <c r="C19" s="36" t="s">
        <v>352</v>
      </c>
      <c r="D19" s="38">
        <v>2</v>
      </c>
      <c r="E19" s="39">
        <v>9.61</v>
      </c>
      <c r="F19" s="40">
        <f t="shared" si="0"/>
        <v>19.22</v>
      </c>
    </row>
    <row r="20" spans="1:6">
      <c r="A20" s="36">
        <v>10</v>
      </c>
      <c r="B20" s="37" t="s">
        <v>361</v>
      </c>
      <c r="C20" s="36" t="s">
        <v>352</v>
      </c>
      <c r="D20" s="38">
        <v>3</v>
      </c>
      <c r="E20" s="39">
        <v>9.71</v>
      </c>
      <c r="F20" s="40">
        <f t="shared" si="0"/>
        <v>29.13</v>
      </c>
    </row>
    <row r="21" spans="1:6">
      <c r="A21" s="36">
        <v>11</v>
      </c>
      <c r="B21" s="37" t="s">
        <v>362</v>
      </c>
      <c r="C21" s="36" t="s">
        <v>352</v>
      </c>
      <c r="D21" s="38">
        <v>1</v>
      </c>
      <c r="E21" s="39">
        <v>35.31</v>
      </c>
      <c r="F21" s="40">
        <f t="shared" si="0"/>
        <v>35.31</v>
      </c>
    </row>
    <row r="22" spans="1:6">
      <c r="A22" s="36">
        <v>12</v>
      </c>
      <c r="B22" s="37" t="s">
        <v>363</v>
      </c>
      <c r="C22" s="36" t="s">
        <v>352</v>
      </c>
      <c r="D22" s="38">
        <v>1</v>
      </c>
      <c r="E22" s="39">
        <v>13</v>
      </c>
      <c r="F22" s="40">
        <f t="shared" si="0"/>
        <v>13</v>
      </c>
    </row>
    <row r="23" ht="28.5" spans="1:6">
      <c r="A23" s="36">
        <v>13</v>
      </c>
      <c r="B23" s="37" t="s">
        <v>364</v>
      </c>
      <c r="C23" s="36" t="s">
        <v>352</v>
      </c>
      <c r="D23" s="38">
        <v>1</v>
      </c>
      <c r="E23" s="39">
        <v>98</v>
      </c>
      <c r="F23" s="40">
        <f t="shared" si="0"/>
        <v>98</v>
      </c>
    </row>
    <row r="24" ht="28.5" spans="1:6">
      <c r="A24" s="36">
        <v>14</v>
      </c>
      <c r="B24" s="37" t="s">
        <v>365</v>
      </c>
      <c r="C24" s="36" t="s">
        <v>352</v>
      </c>
      <c r="D24" s="38">
        <v>1</v>
      </c>
      <c r="E24" s="39">
        <v>150</v>
      </c>
      <c r="F24" s="40">
        <f t="shared" si="0"/>
        <v>150</v>
      </c>
    </row>
    <row r="25" ht="28.5" spans="1:6">
      <c r="A25" s="36">
        <v>15</v>
      </c>
      <c r="B25" s="37" t="s">
        <v>366</v>
      </c>
      <c r="C25" s="36" t="s">
        <v>352</v>
      </c>
      <c r="D25" s="38">
        <v>2</v>
      </c>
      <c r="E25" s="39">
        <v>39.83</v>
      </c>
      <c r="F25" s="40">
        <f t="shared" si="0"/>
        <v>79.66</v>
      </c>
    </row>
    <row r="26" ht="28.5" spans="1:6">
      <c r="A26" s="36">
        <v>16</v>
      </c>
      <c r="B26" s="37" t="s">
        <v>367</v>
      </c>
      <c r="C26" s="36" t="s">
        <v>352</v>
      </c>
      <c r="D26" s="38">
        <v>1</v>
      </c>
      <c r="E26" s="39">
        <v>92.6</v>
      </c>
      <c r="F26" s="40">
        <f t="shared" si="0"/>
        <v>92.6</v>
      </c>
    </row>
    <row r="27" spans="1:6">
      <c r="A27" s="36">
        <v>17</v>
      </c>
      <c r="B27" s="37" t="s">
        <v>368</v>
      </c>
      <c r="C27" s="36" t="s">
        <v>352</v>
      </c>
      <c r="D27" s="38">
        <v>5</v>
      </c>
      <c r="E27" s="39">
        <v>5.7</v>
      </c>
      <c r="F27" s="40">
        <f t="shared" si="0"/>
        <v>28.5</v>
      </c>
    </row>
    <row r="28" spans="1:6">
      <c r="A28" s="36">
        <v>18</v>
      </c>
      <c r="B28" s="37" t="s">
        <v>369</v>
      </c>
      <c r="C28" s="36" t="s">
        <v>352</v>
      </c>
      <c r="D28" s="38">
        <v>2</v>
      </c>
      <c r="E28" s="39">
        <v>18.02</v>
      </c>
      <c r="F28" s="40">
        <f t="shared" si="0"/>
        <v>36.04</v>
      </c>
    </row>
    <row r="29" spans="1:6">
      <c r="A29" s="36">
        <v>19</v>
      </c>
      <c r="B29" s="37" t="s">
        <v>370</v>
      </c>
      <c r="C29" s="36" t="s">
        <v>352</v>
      </c>
      <c r="D29" s="38">
        <v>1</v>
      </c>
      <c r="E29" s="39">
        <v>41.23</v>
      </c>
      <c r="F29" s="40">
        <f t="shared" si="0"/>
        <v>41.23</v>
      </c>
    </row>
    <row r="30" spans="1:6">
      <c r="A30" s="36">
        <v>20</v>
      </c>
      <c r="B30" s="37" t="s">
        <v>371</v>
      </c>
      <c r="C30" s="36" t="s">
        <v>352</v>
      </c>
      <c r="D30" s="38">
        <v>1</v>
      </c>
      <c r="E30" s="39">
        <v>51.93</v>
      </c>
      <c r="F30" s="40">
        <f t="shared" si="0"/>
        <v>51.93</v>
      </c>
    </row>
    <row r="31" spans="1:6">
      <c r="A31" s="36">
        <v>21</v>
      </c>
      <c r="B31" s="37" t="s">
        <v>372</v>
      </c>
      <c r="C31" s="36" t="s">
        <v>352</v>
      </c>
      <c r="D31" s="38">
        <v>1</v>
      </c>
      <c r="E31" s="39">
        <v>34.25</v>
      </c>
      <c r="F31" s="40">
        <f t="shared" si="0"/>
        <v>34.25</v>
      </c>
    </row>
    <row r="32" spans="1:6">
      <c r="A32" s="36">
        <v>22</v>
      </c>
      <c r="B32" s="37" t="s">
        <v>373</v>
      </c>
      <c r="C32" s="36" t="s">
        <v>352</v>
      </c>
      <c r="D32" s="38">
        <v>1</v>
      </c>
      <c r="E32" s="39">
        <v>19.19</v>
      </c>
      <c r="F32" s="40">
        <f t="shared" si="0"/>
        <v>19.19</v>
      </c>
    </row>
    <row r="33" spans="1:6">
      <c r="A33" s="36">
        <v>23</v>
      </c>
      <c r="B33" s="37" t="s">
        <v>374</v>
      </c>
      <c r="C33" s="36" t="s">
        <v>352</v>
      </c>
      <c r="D33" s="38">
        <v>1</v>
      </c>
      <c r="E33" s="39">
        <v>27.99</v>
      </c>
      <c r="F33" s="40">
        <f t="shared" si="0"/>
        <v>27.99</v>
      </c>
    </row>
    <row r="34" spans="1:6">
      <c r="A34" s="36">
        <v>24</v>
      </c>
      <c r="B34" s="37" t="s">
        <v>375</v>
      </c>
      <c r="C34" s="36" t="s">
        <v>352</v>
      </c>
      <c r="D34" s="38">
        <v>2</v>
      </c>
      <c r="E34" s="39">
        <v>10.28</v>
      </c>
      <c r="F34" s="40">
        <f t="shared" si="0"/>
        <v>20.56</v>
      </c>
    </row>
    <row r="35" spans="1:6">
      <c r="A35" s="36">
        <v>25</v>
      </c>
      <c r="B35" s="37" t="s">
        <v>376</v>
      </c>
      <c r="C35" s="36" t="s">
        <v>352</v>
      </c>
      <c r="D35" s="38">
        <v>2</v>
      </c>
      <c r="E35" s="39">
        <v>14.3</v>
      </c>
      <c r="F35" s="40">
        <f t="shared" si="0"/>
        <v>28.6</v>
      </c>
    </row>
    <row r="36" ht="28.5" spans="1:6">
      <c r="A36" s="36">
        <v>26</v>
      </c>
      <c r="B36" s="37" t="s">
        <v>377</v>
      </c>
      <c r="C36" s="36" t="s">
        <v>352</v>
      </c>
      <c r="D36" s="38">
        <v>1</v>
      </c>
      <c r="E36" s="39">
        <v>58.65</v>
      </c>
      <c r="F36" s="40">
        <f t="shared" si="0"/>
        <v>58.65</v>
      </c>
    </row>
    <row r="37" spans="1:6">
      <c r="A37" s="36">
        <v>27</v>
      </c>
      <c r="B37" s="37" t="s">
        <v>378</v>
      </c>
      <c r="C37" s="36" t="s">
        <v>352</v>
      </c>
      <c r="D37" s="38">
        <v>2</v>
      </c>
      <c r="E37" s="39">
        <v>31.28</v>
      </c>
      <c r="F37" s="40">
        <f t="shared" si="0"/>
        <v>62.56</v>
      </c>
    </row>
    <row r="38" spans="1:6">
      <c r="A38" s="36">
        <v>28</v>
      </c>
      <c r="B38" s="37" t="s">
        <v>379</v>
      </c>
      <c r="C38" s="36" t="s">
        <v>352</v>
      </c>
      <c r="D38" s="38">
        <v>2</v>
      </c>
      <c r="E38" s="39">
        <v>24</v>
      </c>
      <c r="F38" s="40">
        <f t="shared" si="0"/>
        <v>48</v>
      </c>
    </row>
    <row r="39" spans="1:6">
      <c r="A39" s="36">
        <v>29</v>
      </c>
      <c r="B39" s="37" t="s">
        <v>380</v>
      </c>
      <c r="C39" s="36" t="s">
        <v>352</v>
      </c>
      <c r="D39" s="38">
        <v>1</v>
      </c>
      <c r="E39" s="39">
        <v>52.19</v>
      </c>
      <c r="F39" s="40">
        <f t="shared" si="0"/>
        <v>52.19</v>
      </c>
    </row>
    <row r="40" spans="1:6">
      <c r="A40" s="36">
        <v>30</v>
      </c>
      <c r="B40" s="37" t="s">
        <v>381</v>
      </c>
      <c r="C40" s="36" t="s">
        <v>352</v>
      </c>
      <c r="D40" s="38">
        <v>1</v>
      </c>
      <c r="E40" s="39">
        <v>33.39</v>
      </c>
      <c r="F40" s="40">
        <f t="shared" si="0"/>
        <v>33.39</v>
      </c>
    </row>
    <row r="41" spans="1:6">
      <c r="A41" s="36">
        <v>31</v>
      </c>
      <c r="B41" s="37" t="s">
        <v>382</v>
      </c>
      <c r="C41" s="36" t="s">
        <v>352</v>
      </c>
      <c r="D41" s="38">
        <v>1</v>
      </c>
      <c r="E41" s="39">
        <v>53.87</v>
      </c>
      <c r="F41" s="40">
        <f t="shared" si="0"/>
        <v>53.87</v>
      </c>
    </row>
    <row r="42" spans="1:6">
      <c r="A42" s="36">
        <v>32</v>
      </c>
      <c r="B42" s="37" t="s">
        <v>383</v>
      </c>
      <c r="C42" s="36" t="s">
        <v>352</v>
      </c>
      <c r="D42" s="38">
        <v>1</v>
      </c>
      <c r="E42" s="39">
        <v>22.58</v>
      </c>
      <c r="F42" s="40">
        <f t="shared" si="0"/>
        <v>22.58</v>
      </c>
    </row>
    <row r="43" ht="28.5" spans="1:6">
      <c r="A43" s="36">
        <v>33</v>
      </c>
      <c r="B43" s="37" t="s">
        <v>384</v>
      </c>
      <c r="C43" s="36" t="s">
        <v>352</v>
      </c>
      <c r="D43" s="38">
        <v>2</v>
      </c>
      <c r="E43" s="39">
        <v>17.56</v>
      </c>
      <c r="F43" s="40">
        <f t="shared" si="0"/>
        <v>35.12</v>
      </c>
    </row>
    <row r="44" spans="1:6">
      <c r="A44" s="36">
        <v>34</v>
      </c>
      <c r="B44" s="37" t="s">
        <v>385</v>
      </c>
      <c r="C44" s="36" t="s">
        <v>352</v>
      </c>
      <c r="D44" s="38">
        <v>2</v>
      </c>
      <c r="E44" s="39">
        <v>40</v>
      </c>
      <c r="F44" s="40">
        <f t="shared" ref="F44:F90" si="1">TRUNC(E44*D44,2)</f>
        <v>80</v>
      </c>
    </row>
    <row r="45" spans="1:6">
      <c r="A45" s="36">
        <v>35</v>
      </c>
      <c r="B45" s="37" t="s">
        <v>386</v>
      </c>
      <c r="C45" s="36" t="s">
        <v>352</v>
      </c>
      <c r="D45" s="38">
        <v>2</v>
      </c>
      <c r="E45" s="39">
        <v>25.55</v>
      </c>
      <c r="F45" s="40">
        <f t="shared" si="1"/>
        <v>51.1</v>
      </c>
    </row>
    <row r="46" spans="1:6">
      <c r="A46" s="36">
        <v>36</v>
      </c>
      <c r="B46" s="37" t="s">
        <v>387</v>
      </c>
      <c r="C46" s="36" t="s">
        <v>352</v>
      </c>
      <c r="D46" s="38">
        <v>2</v>
      </c>
      <c r="E46" s="39">
        <v>39.34</v>
      </c>
      <c r="F46" s="40">
        <f t="shared" si="1"/>
        <v>78.68</v>
      </c>
    </row>
    <row r="47" spans="1:6">
      <c r="A47" s="36">
        <v>37</v>
      </c>
      <c r="B47" s="37" t="s">
        <v>388</v>
      </c>
      <c r="C47" s="36" t="s">
        <v>352</v>
      </c>
      <c r="D47" s="38">
        <v>2</v>
      </c>
      <c r="E47" s="39">
        <v>13.75</v>
      </c>
      <c r="F47" s="40">
        <f t="shared" si="1"/>
        <v>27.5</v>
      </c>
    </row>
    <row r="48" spans="1:6">
      <c r="A48" s="36">
        <v>38</v>
      </c>
      <c r="B48" s="37" t="s">
        <v>389</v>
      </c>
      <c r="C48" s="36" t="s">
        <v>352</v>
      </c>
      <c r="D48" s="38">
        <v>2</v>
      </c>
      <c r="E48" s="39">
        <v>20.17</v>
      </c>
      <c r="F48" s="40">
        <f t="shared" si="1"/>
        <v>40.34</v>
      </c>
    </row>
    <row r="49" spans="1:6">
      <c r="A49" s="36">
        <v>39</v>
      </c>
      <c r="B49" s="37" t="s">
        <v>390</v>
      </c>
      <c r="C49" s="36" t="s">
        <v>352</v>
      </c>
      <c r="D49" s="38">
        <v>1</v>
      </c>
      <c r="E49" s="39">
        <v>30.26</v>
      </c>
      <c r="F49" s="40">
        <f t="shared" si="1"/>
        <v>30.26</v>
      </c>
    </row>
    <row r="50" spans="1:6">
      <c r="A50" s="36">
        <v>40</v>
      </c>
      <c r="B50" s="37" t="s">
        <v>391</v>
      </c>
      <c r="C50" s="36" t="s">
        <v>352</v>
      </c>
      <c r="D50" s="38">
        <v>2</v>
      </c>
      <c r="E50" s="39">
        <v>21.32</v>
      </c>
      <c r="F50" s="40">
        <f t="shared" si="1"/>
        <v>42.64</v>
      </c>
    </row>
    <row r="51" spans="1:6">
      <c r="A51" s="36">
        <v>41</v>
      </c>
      <c r="B51" s="37" t="s">
        <v>392</v>
      </c>
      <c r="C51" s="36" t="s">
        <v>352</v>
      </c>
      <c r="D51" s="38">
        <v>2</v>
      </c>
      <c r="E51" s="39">
        <v>9.31</v>
      </c>
      <c r="F51" s="40">
        <f t="shared" si="1"/>
        <v>18.62</v>
      </c>
    </row>
    <row r="52" spans="1:6">
      <c r="A52" s="36">
        <v>42</v>
      </c>
      <c r="B52" s="37" t="s">
        <v>393</v>
      </c>
      <c r="C52" s="36" t="s">
        <v>352</v>
      </c>
      <c r="D52" s="38">
        <v>1</v>
      </c>
      <c r="E52" s="39">
        <v>11.47</v>
      </c>
      <c r="F52" s="40">
        <f t="shared" si="1"/>
        <v>11.47</v>
      </c>
    </row>
    <row r="53" spans="1:6">
      <c r="A53" s="36">
        <v>43</v>
      </c>
      <c r="B53" s="37" t="s">
        <v>394</v>
      </c>
      <c r="C53" s="36" t="s">
        <v>352</v>
      </c>
      <c r="D53" s="38">
        <v>1</v>
      </c>
      <c r="E53" s="39">
        <v>9.12</v>
      </c>
      <c r="F53" s="40">
        <f t="shared" si="1"/>
        <v>9.12</v>
      </c>
    </row>
    <row r="54" spans="1:6">
      <c r="A54" s="36">
        <v>44</v>
      </c>
      <c r="B54" s="37" t="s">
        <v>395</v>
      </c>
      <c r="C54" s="36" t="s">
        <v>352</v>
      </c>
      <c r="D54" s="38">
        <v>1</v>
      </c>
      <c r="E54" s="39">
        <v>31.96</v>
      </c>
      <c r="F54" s="40">
        <f t="shared" si="1"/>
        <v>31.96</v>
      </c>
    </row>
    <row r="55" spans="1:6">
      <c r="A55" s="36">
        <v>45</v>
      </c>
      <c r="B55" s="37" t="s">
        <v>396</v>
      </c>
      <c r="C55" s="36" t="s">
        <v>352</v>
      </c>
      <c r="D55" s="38">
        <v>1</v>
      </c>
      <c r="E55" s="39">
        <v>17.48</v>
      </c>
      <c r="F55" s="40">
        <f t="shared" si="1"/>
        <v>17.48</v>
      </c>
    </row>
    <row r="56" ht="28.5" spans="1:6">
      <c r="A56" s="36">
        <v>46</v>
      </c>
      <c r="B56" s="37" t="s">
        <v>397</v>
      </c>
      <c r="C56" s="36" t="s">
        <v>352</v>
      </c>
      <c r="D56" s="38">
        <v>2</v>
      </c>
      <c r="E56" s="39">
        <v>67.59</v>
      </c>
      <c r="F56" s="40">
        <f t="shared" si="1"/>
        <v>135.18</v>
      </c>
    </row>
    <row r="57" spans="1:6">
      <c r="A57" s="36">
        <v>47</v>
      </c>
      <c r="B57" s="37" t="s">
        <v>398</v>
      </c>
      <c r="C57" s="36" t="s">
        <v>352</v>
      </c>
      <c r="D57" s="38">
        <v>1</v>
      </c>
      <c r="E57" s="39">
        <v>36</v>
      </c>
      <c r="F57" s="40">
        <f t="shared" si="1"/>
        <v>36</v>
      </c>
    </row>
    <row r="58" ht="28.5" spans="1:6">
      <c r="A58" s="36">
        <v>48</v>
      </c>
      <c r="B58" s="37" t="s">
        <v>399</v>
      </c>
      <c r="C58" s="36" t="s">
        <v>352</v>
      </c>
      <c r="D58" s="38">
        <v>1</v>
      </c>
      <c r="E58" s="39">
        <v>15.8</v>
      </c>
      <c r="F58" s="40">
        <f t="shared" si="1"/>
        <v>15.8</v>
      </c>
    </row>
    <row r="59" spans="1:6">
      <c r="A59" s="36">
        <v>49</v>
      </c>
      <c r="B59" s="37" t="s">
        <v>400</v>
      </c>
      <c r="C59" s="36" t="s">
        <v>352</v>
      </c>
      <c r="D59" s="38">
        <v>20</v>
      </c>
      <c r="E59" s="39">
        <v>6.3</v>
      </c>
      <c r="F59" s="40">
        <f t="shared" si="1"/>
        <v>126</v>
      </c>
    </row>
    <row r="60" spans="1:6">
      <c r="A60" s="36">
        <v>50</v>
      </c>
      <c r="B60" s="37" t="s">
        <v>401</v>
      </c>
      <c r="C60" s="36" t="s">
        <v>352</v>
      </c>
      <c r="D60" s="38">
        <v>2</v>
      </c>
      <c r="E60" s="39">
        <v>5.88</v>
      </c>
      <c r="F60" s="40">
        <f t="shared" si="1"/>
        <v>11.76</v>
      </c>
    </row>
    <row r="61" ht="28.5" spans="1:6">
      <c r="A61" s="36">
        <v>51</v>
      </c>
      <c r="B61" s="37" t="s">
        <v>402</v>
      </c>
      <c r="C61" s="36" t="s">
        <v>352</v>
      </c>
      <c r="D61" s="38">
        <v>20</v>
      </c>
      <c r="E61" s="39">
        <v>5.63</v>
      </c>
      <c r="F61" s="40">
        <f t="shared" si="1"/>
        <v>112.6</v>
      </c>
    </row>
    <row r="62" spans="1:6">
      <c r="A62" s="36">
        <v>52</v>
      </c>
      <c r="B62" s="37" t="s">
        <v>403</v>
      </c>
      <c r="C62" s="36" t="s">
        <v>352</v>
      </c>
      <c r="D62" s="38">
        <v>20</v>
      </c>
      <c r="E62" s="39">
        <v>8</v>
      </c>
      <c r="F62" s="40">
        <f t="shared" si="1"/>
        <v>160</v>
      </c>
    </row>
    <row r="63" ht="28.5" spans="1:6">
      <c r="A63" s="36">
        <v>53</v>
      </c>
      <c r="B63" s="37" t="s">
        <v>404</v>
      </c>
      <c r="C63" s="36" t="s">
        <v>352</v>
      </c>
      <c r="D63" s="38">
        <v>2</v>
      </c>
      <c r="E63" s="39">
        <v>27.67</v>
      </c>
      <c r="F63" s="40">
        <f t="shared" si="1"/>
        <v>55.34</v>
      </c>
    </row>
    <row r="64" spans="1:6">
      <c r="A64" s="36">
        <v>54</v>
      </c>
      <c r="B64" s="37" t="s">
        <v>405</v>
      </c>
      <c r="C64" s="36" t="s">
        <v>352</v>
      </c>
      <c r="D64" s="38">
        <v>30</v>
      </c>
      <c r="E64" s="39">
        <v>6.79</v>
      </c>
      <c r="F64" s="40">
        <f t="shared" si="1"/>
        <v>203.7</v>
      </c>
    </row>
    <row r="65" spans="1:6">
      <c r="A65" s="36">
        <v>55</v>
      </c>
      <c r="B65" s="37" t="s">
        <v>406</v>
      </c>
      <c r="C65" s="36" t="s">
        <v>352</v>
      </c>
      <c r="D65" s="38">
        <v>5</v>
      </c>
      <c r="E65" s="39">
        <v>5.9</v>
      </c>
      <c r="F65" s="40">
        <f t="shared" si="1"/>
        <v>29.5</v>
      </c>
    </row>
    <row r="66" spans="1:6">
      <c r="A66" s="36">
        <v>56</v>
      </c>
      <c r="B66" s="37" t="s">
        <v>407</v>
      </c>
      <c r="C66" s="36" t="s">
        <v>352</v>
      </c>
      <c r="D66" s="38">
        <v>2</v>
      </c>
      <c r="E66" s="39">
        <v>23.73</v>
      </c>
      <c r="F66" s="40">
        <f t="shared" si="1"/>
        <v>47.46</v>
      </c>
    </row>
    <row r="67" ht="28.5" spans="1:6">
      <c r="A67" s="36">
        <v>57</v>
      </c>
      <c r="B67" s="37" t="s">
        <v>408</v>
      </c>
      <c r="C67" s="36" t="s">
        <v>352</v>
      </c>
      <c r="D67" s="38">
        <v>4</v>
      </c>
      <c r="E67" s="39">
        <v>9</v>
      </c>
      <c r="F67" s="40">
        <f t="shared" si="1"/>
        <v>36</v>
      </c>
    </row>
    <row r="68" spans="1:6">
      <c r="A68" s="36">
        <v>58</v>
      </c>
      <c r="B68" s="37" t="s">
        <v>409</v>
      </c>
      <c r="C68" s="36" t="s">
        <v>352</v>
      </c>
      <c r="D68" s="38">
        <v>2</v>
      </c>
      <c r="E68" s="39">
        <v>62.69</v>
      </c>
      <c r="F68" s="40">
        <f t="shared" si="1"/>
        <v>125.38</v>
      </c>
    </row>
    <row r="69" spans="1:6">
      <c r="A69" s="36">
        <v>59</v>
      </c>
      <c r="B69" s="37" t="s">
        <v>410</v>
      </c>
      <c r="C69" s="36" t="s">
        <v>352</v>
      </c>
      <c r="D69" s="38">
        <v>2</v>
      </c>
      <c r="E69" s="39">
        <v>36.68</v>
      </c>
      <c r="F69" s="40">
        <f t="shared" si="1"/>
        <v>73.36</v>
      </c>
    </row>
    <row r="70" spans="1:6">
      <c r="A70" s="36">
        <v>60</v>
      </c>
      <c r="B70" s="37" t="s">
        <v>411</v>
      </c>
      <c r="C70" s="36" t="s">
        <v>352</v>
      </c>
      <c r="D70" s="38">
        <v>2</v>
      </c>
      <c r="E70" s="39">
        <v>57.67</v>
      </c>
      <c r="F70" s="40">
        <f t="shared" si="1"/>
        <v>115.34</v>
      </c>
    </row>
    <row r="71" ht="28.5" spans="1:6">
      <c r="A71" s="36">
        <v>61</v>
      </c>
      <c r="B71" s="37" t="s">
        <v>412</v>
      </c>
      <c r="C71" s="36" t="s">
        <v>352</v>
      </c>
      <c r="D71" s="38">
        <v>2</v>
      </c>
      <c r="E71" s="39">
        <v>53.87</v>
      </c>
      <c r="F71" s="40">
        <f t="shared" si="1"/>
        <v>107.74</v>
      </c>
    </row>
    <row r="72" ht="28.5" spans="1:6">
      <c r="A72" s="36">
        <v>62</v>
      </c>
      <c r="B72" s="37" t="s">
        <v>413</v>
      </c>
      <c r="C72" s="36" t="s">
        <v>352</v>
      </c>
      <c r="D72" s="38">
        <v>1</v>
      </c>
      <c r="E72" s="39">
        <v>38.39</v>
      </c>
      <c r="F72" s="40">
        <f t="shared" si="1"/>
        <v>38.39</v>
      </c>
    </row>
    <row r="73" ht="28.5" spans="1:6">
      <c r="A73" s="36">
        <v>63</v>
      </c>
      <c r="B73" s="37" t="s">
        <v>414</v>
      </c>
      <c r="C73" s="36" t="s">
        <v>352</v>
      </c>
      <c r="D73" s="38">
        <v>3</v>
      </c>
      <c r="E73" s="39">
        <v>33.34</v>
      </c>
      <c r="F73" s="40">
        <f t="shared" si="1"/>
        <v>100.02</v>
      </c>
    </row>
    <row r="74" ht="28.5" spans="1:6">
      <c r="A74" s="36">
        <v>64</v>
      </c>
      <c r="B74" s="37" t="s">
        <v>415</v>
      </c>
      <c r="C74" s="36" t="s">
        <v>352</v>
      </c>
      <c r="D74" s="38">
        <v>1</v>
      </c>
      <c r="E74" s="39">
        <v>64.59</v>
      </c>
      <c r="F74" s="40">
        <f t="shared" si="1"/>
        <v>64.59</v>
      </c>
    </row>
    <row r="75" ht="28.5" spans="1:6">
      <c r="A75" s="36">
        <v>65</v>
      </c>
      <c r="B75" s="37" t="s">
        <v>416</v>
      </c>
      <c r="C75" s="36" t="s">
        <v>352</v>
      </c>
      <c r="D75" s="38">
        <v>1</v>
      </c>
      <c r="E75" s="39">
        <v>39</v>
      </c>
      <c r="F75" s="40">
        <f t="shared" si="1"/>
        <v>39</v>
      </c>
    </row>
    <row r="76" ht="28.5" spans="1:6">
      <c r="A76" s="36">
        <v>66</v>
      </c>
      <c r="B76" s="37" t="s">
        <v>417</v>
      </c>
      <c r="C76" s="36" t="s">
        <v>352</v>
      </c>
      <c r="D76" s="38">
        <v>2</v>
      </c>
      <c r="E76" s="39">
        <v>248.59</v>
      </c>
      <c r="F76" s="40">
        <f t="shared" si="1"/>
        <v>497.18</v>
      </c>
    </row>
    <row r="77" spans="1:6">
      <c r="A77" s="36">
        <v>67</v>
      </c>
      <c r="B77" s="37" t="s">
        <v>418</v>
      </c>
      <c r="C77" s="36" t="s">
        <v>352</v>
      </c>
      <c r="D77" s="38">
        <v>1</v>
      </c>
      <c r="E77" s="39">
        <v>19.52</v>
      </c>
      <c r="F77" s="40">
        <f t="shared" si="1"/>
        <v>19.52</v>
      </c>
    </row>
    <row r="78" spans="1:6">
      <c r="A78" s="36">
        <v>68</v>
      </c>
      <c r="B78" s="37" t="s">
        <v>419</v>
      </c>
      <c r="C78" s="36" t="s">
        <v>352</v>
      </c>
      <c r="D78" s="38">
        <v>1</v>
      </c>
      <c r="E78" s="39">
        <v>5.55</v>
      </c>
      <c r="F78" s="40">
        <f t="shared" si="1"/>
        <v>5.55</v>
      </c>
    </row>
    <row r="79" spans="1:6">
      <c r="A79" s="36">
        <v>69</v>
      </c>
      <c r="B79" s="37" t="s">
        <v>420</v>
      </c>
      <c r="C79" s="36" t="s">
        <v>352</v>
      </c>
      <c r="D79" s="38">
        <v>1</v>
      </c>
      <c r="E79" s="39">
        <v>7.93</v>
      </c>
      <c r="F79" s="40">
        <f t="shared" si="1"/>
        <v>7.93</v>
      </c>
    </row>
    <row r="80" spans="1:6">
      <c r="A80" s="36">
        <v>70</v>
      </c>
      <c r="B80" s="37" t="s">
        <v>421</v>
      </c>
      <c r="C80" s="36" t="s">
        <v>352</v>
      </c>
      <c r="D80" s="38">
        <v>1</v>
      </c>
      <c r="E80" s="39">
        <v>58.03</v>
      </c>
      <c r="F80" s="40">
        <f t="shared" si="1"/>
        <v>58.03</v>
      </c>
    </row>
    <row r="81" spans="1:6">
      <c r="A81" s="36">
        <v>71</v>
      </c>
      <c r="B81" s="37" t="s">
        <v>422</v>
      </c>
      <c r="C81" s="36" t="s">
        <v>352</v>
      </c>
      <c r="D81" s="38">
        <v>2</v>
      </c>
      <c r="E81" s="39">
        <v>31.97</v>
      </c>
      <c r="F81" s="40">
        <f t="shared" si="1"/>
        <v>63.94</v>
      </c>
    </row>
    <row r="82" spans="1:6">
      <c r="A82" s="36">
        <v>72</v>
      </c>
      <c r="B82" s="37" t="s">
        <v>423</v>
      </c>
      <c r="C82" s="36" t="s">
        <v>352</v>
      </c>
      <c r="D82" s="38">
        <v>1</v>
      </c>
      <c r="E82" s="39">
        <v>41.37</v>
      </c>
      <c r="F82" s="40">
        <f t="shared" si="1"/>
        <v>41.37</v>
      </c>
    </row>
    <row r="83" ht="28.5" spans="1:6">
      <c r="A83" s="36">
        <v>73</v>
      </c>
      <c r="B83" s="37" t="s">
        <v>424</v>
      </c>
      <c r="C83" s="36" t="s">
        <v>352</v>
      </c>
      <c r="D83" s="38">
        <v>2</v>
      </c>
      <c r="E83" s="39">
        <v>56.37</v>
      </c>
      <c r="F83" s="40">
        <f t="shared" si="1"/>
        <v>112.74</v>
      </c>
    </row>
    <row r="84" spans="1:6">
      <c r="A84" s="36">
        <v>74</v>
      </c>
      <c r="B84" s="37" t="s">
        <v>425</v>
      </c>
      <c r="C84" s="36" t="s">
        <v>352</v>
      </c>
      <c r="D84" s="38">
        <v>1</v>
      </c>
      <c r="E84" s="39">
        <v>64.11</v>
      </c>
      <c r="F84" s="40">
        <f t="shared" si="1"/>
        <v>64.11</v>
      </c>
    </row>
    <row r="85" spans="1:6">
      <c r="A85" s="36">
        <v>75</v>
      </c>
      <c r="B85" s="37" t="s">
        <v>426</v>
      </c>
      <c r="C85" s="36" t="s">
        <v>352</v>
      </c>
      <c r="D85" s="38">
        <v>1</v>
      </c>
      <c r="E85" s="39">
        <v>47.71</v>
      </c>
      <c r="F85" s="40">
        <f t="shared" si="1"/>
        <v>47.71</v>
      </c>
    </row>
    <row r="86" spans="1:6">
      <c r="A86" s="36">
        <v>76</v>
      </c>
      <c r="B86" s="37" t="s">
        <v>427</v>
      </c>
      <c r="C86" s="36" t="s">
        <v>352</v>
      </c>
      <c r="D86" s="38">
        <v>1</v>
      </c>
      <c r="E86" s="39">
        <v>102.92</v>
      </c>
      <c r="F86" s="40">
        <f t="shared" si="1"/>
        <v>102.92</v>
      </c>
    </row>
    <row r="87" spans="1:6">
      <c r="A87" s="36">
        <v>77</v>
      </c>
      <c r="B87" s="37" t="s">
        <v>428</v>
      </c>
      <c r="C87" s="36" t="s">
        <v>352</v>
      </c>
      <c r="D87" s="38">
        <v>1</v>
      </c>
      <c r="E87" s="39">
        <v>74.38</v>
      </c>
      <c r="F87" s="40">
        <f t="shared" si="1"/>
        <v>74.38</v>
      </c>
    </row>
    <row r="88" spans="1:6">
      <c r="A88" s="36">
        <v>78</v>
      </c>
      <c r="B88" s="41" t="s">
        <v>429</v>
      </c>
      <c r="C88" s="36" t="s">
        <v>352</v>
      </c>
      <c r="D88" s="38">
        <v>1</v>
      </c>
      <c r="E88" s="39">
        <v>288.5</v>
      </c>
      <c r="F88" s="40">
        <f t="shared" si="1"/>
        <v>288.5</v>
      </c>
    </row>
    <row r="89" spans="1:6">
      <c r="A89" s="36">
        <v>79</v>
      </c>
      <c r="B89" s="41" t="s">
        <v>430</v>
      </c>
      <c r="C89" s="36" t="s">
        <v>352</v>
      </c>
      <c r="D89" s="38">
        <v>1</v>
      </c>
      <c r="E89" s="39">
        <v>98</v>
      </c>
      <c r="F89" s="40">
        <f t="shared" si="1"/>
        <v>98</v>
      </c>
    </row>
    <row r="90" spans="1:6">
      <c r="A90" s="36">
        <v>80</v>
      </c>
      <c r="B90" s="41" t="s">
        <v>431</v>
      </c>
      <c r="C90" s="36" t="s">
        <v>352</v>
      </c>
      <c r="D90" s="38">
        <v>1</v>
      </c>
      <c r="E90" s="39">
        <v>129.98</v>
      </c>
      <c r="F90" s="40">
        <f t="shared" si="1"/>
        <v>129.98</v>
      </c>
    </row>
    <row r="91" spans="1:6">
      <c r="A91" s="42" t="s">
        <v>244</v>
      </c>
      <c r="B91" s="42"/>
      <c r="C91" s="42"/>
      <c r="D91" s="42"/>
      <c r="E91" s="43">
        <f>TRUNC(SUM(F11:F90),2)</f>
        <v>5303.51</v>
      </c>
      <c r="F91" s="43"/>
    </row>
    <row r="92" spans="1:6">
      <c r="A92" s="42" t="s">
        <v>432</v>
      </c>
      <c r="B92" s="42"/>
      <c r="C92" s="42"/>
      <c r="D92" s="42"/>
      <c r="E92" s="42">
        <v>5</v>
      </c>
      <c r="F92" s="42"/>
    </row>
    <row r="93" spans="1:6">
      <c r="A93" s="42" t="s">
        <v>433</v>
      </c>
      <c r="B93" s="42"/>
      <c r="C93" s="42"/>
      <c r="D93" s="42"/>
      <c r="E93" s="43">
        <f>TRUNC((E91/E92)/12,2)</f>
        <v>88.39</v>
      </c>
      <c r="F93" s="43"/>
    </row>
    <row r="94" spans="1:6">
      <c r="A94" s="44"/>
      <c r="B94" s="44"/>
      <c r="C94" s="44"/>
      <c r="D94" s="45"/>
      <c r="E94" s="44"/>
      <c r="F94" s="44"/>
    </row>
    <row r="95" spans="1:6">
      <c r="A95" s="44"/>
      <c r="B95" s="44"/>
      <c r="C95" s="44"/>
      <c r="D95" s="45"/>
      <c r="E95" s="44"/>
      <c r="F95" s="44"/>
    </row>
    <row r="96" spans="1:6">
      <c r="A96" s="44"/>
      <c r="B96" s="44"/>
      <c r="C96" s="44"/>
      <c r="D96" s="45"/>
      <c r="E96" s="44"/>
      <c r="F96" s="44"/>
    </row>
    <row r="97" spans="1:6">
      <c r="A97" s="46" t="s">
        <v>434</v>
      </c>
      <c r="B97" s="46"/>
      <c r="C97" s="46"/>
      <c r="D97" s="47"/>
      <c r="E97" s="46"/>
      <c r="F97" s="46"/>
    </row>
    <row r="98" ht="28.5" spans="1:6">
      <c r="A98" s="48" t="s">
        <v>273</v>
      </c>
      <c r="B98" s="48" t="s">
        <v>275</v>
      </c>
      <c r="C98" s="48" t="s">
        <v>276</v>
      </c>
      <c r="D98" s="48" t="s">
        <v>350</v>
      </c>
      <c r="E98" s="49" t="s">
        <v>243</v>
      </c>
      <c r="F98" s="49" t="s">
        <v>244</v>
      </c>
    </row>
    <row r="99" ht="28.5" spans="1:6">
      <c r="A99" s="36">
        <v>1</v>
      </c>
      <c r="B99" s="50" t="s">
        <v>435</v>
      </c>
      <c r="C99" s="36" t="s">
        <v>352</v>
      </c>
      <c r="D99" s="38">
        <v>1</v>
      </c>
      <c r="E99" s="39">
        <v>252.06</v>
      </c>
      <c r="F99" s="40">
        <f>TRUNC(E99*D99,2)</f>
        <v>252.06</v>
      </c>
    </row>
    <row r="100" ht="42.75" spans="1:6">
      <c r="A100" s="36">
        <v>2</v>
      </c>
      <c r="B100" s="50" t="s">
        <v>436</v>
      </c>
      <c r="C100" s="36" t="s">
        <v>352</v>
      </c>
      <c r="D100" s="38">
        <v>1</v>
      </c>
      <c r="E100" s="39">
        <v>1636.81</v>
      </c>
      <c r="F100" s="40">
        <f t="shared" ref="F99:F118" si="2">TRUNC(E100*D100,2)</f>
        <v>1636.81</v>
      </c>
    </row>
    <row r="101" ht="28.5" spans="1:6">
      <c r="A101" s="36">
        <v>3</v>
      </c>
      <c r="B101" s="50" t="s">
        <v>437</v>
      </c>
      <c r="C101" s="36" t="s">
        <v>352</v>
      </c>
      <c r="D101" s="38">
        <v>1</v>
      </c>
      <c r="E101" s="39">
        <v>211.12</v>
      </c>
      <c r="F101" s="40">
        <f t="shared" si="2"/>
        <v>211.12</v>
      </c>
    </row>
    <row r="102" spans="1:6">
      <c r="A102" s="36">
        <v>4</v>
      </c>
      <c r="B102" s="41" t="s">
        <v>438</v>
      </c>
      <c r="C102" s="36" t="s">
        <v>352</v>
      </c>
      <c r="D102" s="38">
        <v>1</v>
      </c>
      <c r="E102" s="39">
        <v>221.04</v>
      </c>
      <c r="F102" s="40">
        <f t="shared" si="2"/>
        <v>221.04</v>
      </c>
    </row>
    <row r="103" ht="28.5" spans="1:6">
      <c r="A103" s="36">
        <v>5</v>
      </c>
      <c r="B103" s="41" t="s">
        <v>439</v>
      </c>
      <c r="C103" s="36" t="s">
        <v>352</v>
      </c>
      <c r="D103" s="38">
        <v>0</v>
      </c>
      <c r="E103" s="39">
        <v>178.67</v>
      </c>
      <c r="F103" s="40">
        <f t="shared" si="2"/>
        <v>0</v>
      </c>
    </row>
    <row r="104" spans="1:6">
      <c r="A104" s="36">
        <v>6</v>
      </c>
      <c r="B104" s="50" t="s">
        <v>440</v>
      </c>
      <c r="C104" s="36" t="s">
        <v>352</v>
      </c>
      <c r="D104" s="38">
        <v>1</v>
      </c>
      <c r="E104" s="39">
        <v>670.15</v>
      </c>
      <c r="F104" s="40">
        <f t="shared" si="2"/>
        <v>670.15</v>
      </c>
    </row>
    <row r="105" ht="28.5" spans="1:6">
      <c r="A105" s="36">
        <v>7</v>
      </c>
      <c r="B105" s="50" t="s">
        <v>441</v>
      </c>
      <c r="C105" s="36" t="s">
        <v>352</v>
      </c>
      <c r="D105" s="38">
        <v>1</v>
      </c>
      <c r="E105" s="39">
        <v>284</v>
      </c>
      <c r="F105" s="40">
        <f t="shared" si="2"/>
        <v>284</v>
      </c>
    </row>
    <row r="106" spans="1:6">
      <c r="A106" s="36">
        <v>8</v>
      </c>
      <c r="B106" s="50" t="s">
        <v>442</v>
      </c>
      <c r="C106" s="36" t="s">
        <v>352</v>
      </c>
      <c r="D106" s="38">
        <v>1</v>
      </c>
      <c r="E106" s="39">
        <v>295.17</v>
      </c>
      <c r="F106" s="40">
        <f t="shared" si="2"/>
        <v>295.17</v>
      </c>
    </row>
    <row r="107" spans="1:6">
      <c r="A107" s="36">
        <v>9</v>
      </c>
      <c r="B107" s="41" t="s">
        <v>443</v>
      </c>
      <c r="C107" s="36" t="s">
        <v>352</v>
      </c>
      <c r="D107" s="38">
        <v>1</v>
      </c>
      <c r="E107" s="39">
        <v>323.61</v>
      </c>
      <c r="F107" s="40">
        <f t="shared" si="2"/>
        <v>323.61</v>
      </c>
    </row>
    <row r="108" spans="1:6">
      <c r="A108" s="36">
        <v>10</v>
      </c>
      <c r="B108" s="50" t="s">
        <v>444</v>
      </c>
      <c r="C108" s="36" t="s">
        <v>352</v>
      </c>
      <c r="D108" s="38">
        <v>1</v>
      </c>
      <c r="E108" s="39">
        <v>455.33</v>
      </c>
      <c r="F108" s="40">
        <f t="shared" si="2"/>
        <v>455.33</v>
      </c>
    </row>
    <row r="109" spans="1:6">
      <c r="A109" s="36">
        <v>11</v>
      </c>
      <c r="B109" s="41" t="s">
        <v>445</v>
      </c>
      <c r="C109" s="36" t="s">
        <v>352</v>
      </c>
      <c r="D109" s="38">
        <v>1</v>
      </c>
      <c r="E109" s="39">
        <v>351</v>
      </c>
      <c r="F109" s="40">
        <f t="shared" si="2"/>
        <v>351</v>
      </c>
    </row>
    <row r="110" spans="1:6">
      <c r="A110" s="36">
        <v>12</v>
      </c>
      <c r="B110" s="41" t="s">
        <v>446</v>
      </c>
      <c r="C110" s="36" t="s">
        <v>352</v>
      </c>
      <c r="D110" s="38">
        <v>1</v>
      </c>
      <c r="E110" s="39">
        <v>270</v>
      </c>
      <c r="F110" s="40">
        <f t="shared" si="2"/>
        <v>270</v>
      </c>
    </row>
    <row r="111" ht="28.5" spans="1:6">
      <c r="A111" s="36">
        <v>13</v>
      </c>
      <c r="B111" s="50" t="s">
        <v>447</v>
      </c>
      <c r="C111" s="36" t="s">
        <v>352</v>
      </c>
      <c r="D111" s="38">
        <v>1</v>
      </c>
      <c r="E111" s="39">
        <v>457.22</v>
      </c>
      <c r="F111" s="40">
        <f t="shared" si="2"/>
        <v>457.22</v>
      </c>
    </row>
    <row r="112" spans="1:6">
      <c r="A112" s="36">
        <v>14</v>
      </c>
      <c r="B112" s="41" t="s">
        <v>448</v>
      </c>
      <c r="C112" s="36" t="s">
        <v>352</v>
      </c>
      <c r="D112" s="38">
        <v>1</v>
      </c>
      <c r="E112" s="39">
        <v>269.99</v>
      </c>
      <c r="F112" s="40">
        <f t="shared" si="2"/>
        <v>269.99</v>
      </c>
    </row>
    <row r="113" spans="1:6">
      <c r="A113" s="36">
        <v>15</v>
      </c>
      <c r="B113" s="50" t="s">
        <v>449</v>
      </c>
      <c r="C113" s="36" t="s">
        <v>352</v>
      </c>
      <c r="D113" s="38">
        <v>1</v>
      </c>
      <c r="E113" s="39">
        <v>1021.1</v>
      </c>
      <c r="F113" s="40">
        <f t="shared" si="2"/>
        <v>1021.1</v>
      </c>
    </row>
    <row r="114" spans="1:6">
      <c r="A114" s="36">
        <v>16</v>
      </c>
      <c r="B114" s="41" t="s">
        <v>450</v>
      </c>
      <c r="C114" s="36" t="s">
        <v>352</v>
      </c>
      <c r="D114" s="38">
        <v>1</v>
      </c>
      <c r="E114" s="39">
        <v>174.28</v>
      </c>
      <c r="F114" s="40">
        <f t="shared" si="2"/>
        <v>174.28</v>
      </c>
    </row>
    <row r="115" spans="1:6">
      <c r="A115" s="36">
        <v>17</v>
      </c>
      <c r="B115" s="50" t="s">
        <v>451</v>
      </c>
      <c r="C115" s="36" t="s">
        <v>352</v>
      </c>
      <c r="D115" s="38">
        <v>1</v>
      </c>
      <c r="E115" s="39">
        <v>127.72</v>
      </c>
      <c r="F115" s="40">
        <f t="shared" si="2"/>
        <v>127.72</v>
      </c>
    </row>
    <row r="116" spans="1:6">
      <c r="A116" s="36">
        <v>18</v>
      </c>
      <c r="B116" s="41" t="s">
        <v>452</v>
      </c>
      <c r="C116" s="36" t="s">
        <v>352</v>
      </c>
      <c r="D116" s="38">
        <v>1</v>
      </c>
      <c r="E116" s="39">
        <v>241.42</v>
      </c>
      <c r="F116" s="40">
        <f t="shared" si="2"/>
        <v>241.42</v>
      </c>
    </row>
    <row r="117" spans="1:6">
      <c r="A117" s="36">
        <v>19</v>
      </c>
      <c r="B117" s="41" t="s">
        <v>453</v>
      </c>
      <c r="C117" s="36" t="s">
        <v>352</v>
      </c>
      <c r="D117" s="38">
        <v>1</v>
      </c>
      <c r="E117" s="39">
        <v>217.7</v>
      </c>
      <c r="F117" s="40">
        <f t="shared" si="2"/>
        <v>217.7</v>
      </c>
    </row>
    <row r="118" spans="1:6">
      <c r="A118" s="36">
        <v>20</v>
      </c>
      <c r="B118" s="41" t="s">
        <v>454</v>
      </c>
      <c r="C118" s="36" t="s">
        <v>352</v>
      </c>
      <c r="D118" s="38">
        <v>1</v>
      </c>
      <c r="E118" s="39">
        <v>170.81</v>
      </c>
      <c r="F118" s="40">
        <f t="shared" si="2"/>
        <v>170.81</v>
      </c>
    </row>
    <row r="119" spans="1:6">
      <c r="A119" s="51" t="s">
        <v>44</v>
      </c>
      <c r="B119" s="52"/>
      <c r="C119" s="53"/>
      <c r="D119" s="45"/>
      <c r="E119" s="53"/>
      <c r="F119" s="54">
        <f>SUBTOTAL(109,Table44[VALOR TOTAL])</f>
        <v>7650.53</v>
      </c>
    </row>
    <row r="120" spans="1:6">
      <c r="A120" s="55" t="s">
        <v>455</v>
      </c>
      <c r="B120" s="56"/>
      <c r="C120" s="56"/>
      <c r="D120" s="57"/>
      <c r="E120" s="58"/>
      <c r="F120" s="59">
        <f>Table44[[#Totals],[VALOR TOTAL]]*0.5%</f>
        <v>38.25265</v>
      </c>
    </row>
    <row r="121" spans="1:6">
      <c r="A121" s="60" t="s">
        <v>456</v>
      </c>
      <c r="B121" s="60"/>
      <c r="C121" s="60"/>
      <c r="D121" s="61"/>
      <c r="E121" s="60"/>
      <c r="F121" s="62">
        <f>Table44[[#Totals],[VALOR TOTAL]]*(1-0.2)/(12*8)</f>
        <v>63.7544166666667</v>
      </c>
    </row>
    <row r="122" spans="1:6">
      <c r="A122" s="60" t="s">
        <v>457</v>
      </c>
      <c r="B122" s="60"/>
      <c r="C122" s="60"/>
      <c r="D122" s="61"/>
      <c r="E122" s="60"/>
      <c r="F122" s="62">
        <f>F120+F121</f>
        <v>102.007066666667</v>
      </c>
    </row>
    <row r="123" spans="1:6">
      <c r="A123" s="60" t="s">
        <v>432</v>
      </c>
      <c r="B123" s="60"/>
      <c r="C123" s="60"/>
      <c r="D123" s="61"/>
      <c r="E123" s="60"/>
      <c r="F123" s="63">
        <v>5</v>
      </c>
    </row>
    <row r="124" spans="1:6">
      <c r="A124" s="60" t="s">
        <v>433</v>
      </c>
      <c r="B124" s="60"/>
      <c r="C124" s="60"/>
      <c r="D124" s="61"/>
      <c r="E124" s="60"/>
      <c r="F124" s="62">
        <f>TRUNC(F122/F123,2)</f>
        <v>20.4</v>
      </c>
    </row>
    <row r="125" spans="1:6">
      <c r="A125" s="64"/>
      <c r="B125" s="64"/>
      <c r="C125" s="64"/>
      <c r="D125" s="65"/>
      <c r="E125" s="64"/>
      <c r="F125" s="64"/>
    </row>
    <row r="126" ht="28" customHeight="1" spans="1:6">
      <c r="A126" s="66" t="s">
        <v>458</v>
      </c>
      <c r="B126" s="67"/>
      <c r="C126" s="67"/>
      <c r="D126" s="68"/>
      <c r="E126" s="67"/>
      <c r="F126" s="67"/>
    </row>
    <row r="127" ht="23" customHeight="1" spans="1:6">
      <c r="A127" s="67"/>
      <c r="B127" s="67"/>
      <c r="C127" s="67"/>
      <c r="D127" s="68"/>
      <c r="E127" s="67"/>
      <c r="F127" s="67"/>
    </row>
    <row r="128" ht="33" customHeight="1" spans="1:6">
      <c r="A128" s="67"/>
      <c r="B128" s="67"/>
      <c r="C128" s="67"/>
      <c r="D128" s="68"/>
      <c r="E128" s="67"/>
      <c r="F128" s="67"/>
    </row>
    <row r="129" ht="22" customHeight="1" spans="1:6">
      <c r="A129" s="67"/>
      <c r="B129" s="67"/>
      <c r="C129" s="67"/>
      <c r="D129" s="68"/>
      <c r="E129" s="67"/>
      <c r="F129" s="67"/>
    </row>
    <row r="130" spans="1:6">
      <c r="A130" s="67"/>
      <c r="B130" s="67"/>
      <c r="C130" s="67"/>
      <c r="D130" s="68"/>
      <c r="E130" s="67"/>
      <c r="F130" s="67"/>
    </row>
    <row r="131" spans="1:6">
      <c r="A131" s="67"/>
      <c r="B131" s="67"/>
      <c r="C131" s="67"/>
      <c r="D131" s="68"/>
      <c r="E131" s="67"/>
      <c r="F131" s="67"/>
    </row>
    <row r="132" spans="1:6">
      <c r="A132" s="67"/>
      <c r="B132" s="67"/>
      <c r="C132" s="67"/>
      <c r="D132" s="68"/>
      <c r="E132" s="67"/>
      <c r="F132" s="67"/>
    </row>
    <row r="133" spans="1:6">
      <c r="A133" s="67"/>
      <c r="B133" s="67"/>
      <c r="C133" s="67"/>
      <c r="D133" s="68"/>
      <c r="E133" s="67"/>
      <c r="F133" s="67"/>
    </row>
    <row r="134" spans="1:6">
      <c r="A134" s="67"/>
      <c r="B134" s="67"/>
      <c r="C134" s="67"/>
      <c r="D134" s="68"/>
      <c r="E134" s="67"/>
      <c r="F134" s="67"/>
    </row>
    <row r="135" spans="1:6">
      <c r="A135" s="67"/>
      <c r="B135" s="67"/>
      <c r="C135" s="67"/>
      <c r="D135" s="68"/>
      <c r="E135" s="67"/>
      <c r="F135" s="67"/>
    </row>
  </sheetData>
  <mergeCells count="15">
    <mergeCell ref="A1:G1"/>
    <mergeCell ref="A9:F9"/>
    <mergeCell ref="A91:D91"/>
    <mergeCell ref="E91:F91"/>
    <mergeCell ref="A92:D92"/>
    <mergeCell ref="E92:F92"/>
    <mergeCell ref="A93:D93"/>
    <mergeCell ref="E93:F93"/>
    <mergeCell ref="A97:F97"/>
    <mergeCell ref="A120:E120"/>
    <mergeCell ref="A121:E121"/>
    <mergeCell ref="A122:E122"/>
    <mergeCell ref="A123:E123"/>
    <mergeCell ref="A124:E124"/>
    <mergeCell ref="A126:F135"/>
  </mergeCells>
  <pageMargins left="0.75" right="0.75" top="1" bottom="1" header="0.5" footer="0.5"/>
  <pageSetup paperSize="9" orientation="portrait"/>
  <headerFooter/>
  <tableParts count="2">
    <tablePart r:id="rId1"/>
    <tablePart r:id="rId2"/>
  </tablePar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selection activeCell="E21" sqref="E21:F21"/>
    </sheetView>
  </sheetViews>
  <sheetFormatPr defaultColWidth="9.14285714285714" defaultRowHeight="15" outlineLevelCol="5"/>
  <cols>
    <col min="2" max="2" width="35" customWidth="1"/>
    <col min="3" max="3" width="12" customWidth="1"/>
    <col min="4" max="4" width="14.1428571428571" customWidth="1"/>
    <col min="5" max="5" width="12.1428571428571" customWidth="1"/>
    <col min="6" max="6" width="12" customWidth="1"/>
  </cols>
  <sheetData>
    <row r="1" spans="1:6">
      <c r="A1" s="11" t="s">
        <v>459</v>
      </c>
      <c r="B1" s="11"/>
      <c r="C1" s="11"/>
      <c r="D1" s="11"/>
      <c r="E1" s="11"/>
      <c r="F1" s="11"/>
    </row>
    <row r="2" spans="1:6">
      <c r="A2" s="12" t="s">
        <v>273</v>
      </c>
      <c r="B2" s="12" t="s">
        <v>275</v>
      </c>
      <c r="C2" s="12" t="s">
        <v>276</v>
      </c>
      <c r="D2" s="12" t="s">
        <v>278</v>
      </c>
      <c r="E2" s="12" t="s">
        <v>243</v>
      </c>
      <c r="F2" s="12" t="s">
        <v>244</v>
      </c>
    </row>
    <row r="3" spans="1:6">
      <c r="A3" s="12"/>
      <c r="B3" s="12"/>
      <c r="C3" s="12"/>
      <c r="D3" s="12"/>
      <c r="E3" s="12"/>
      <c r="F3" s="12"/>
    </row>
    <row r="4" spans="1:6">
      <c r="A4" s="12"/>
      <c r="B4" s="12"/>
      <c r="C4" s="12"/>
      <c r="D4" s="12"/>
      <c r="E4" s="12"/>
      <c r="F4" s="12"/>
    </row>
    <row r="5" spans="1:4">
      <c r="A5" s="13">
        <v>1</v>
      </c>
      <c r="B5" s="14" t="s">
        <v>460</v>
      </c>
      <c r="C5" s="14"/>
      <c r="D5" s="14"/>
    </row>
    <row r="6" ht="30" spans="1:6">
      <c r="A6" s="13"/>
      <c r="B6" s="15" t="s">
        <v>461</v>
      </c>
      <c r="C6" s="16" t="s">
        <v>283</v>
      </c>
      <c r="D6" s="16">
        <v>1</v>
      </c>
      <c r="E6" s="17">
        <v>32.87</v>
      </c>
      <c r="F6" s="17">
        <f t="shared" ref="F6:F18" si="0">TRUNC(E6*D6,2)</f>
        <v>32.87</v>
      </c>
    </row>
    <row r="7" spans="1:6">
      <c r="A7" s="13"/>
      <c r="B7" s="15" t="s">
        <v>462</v>
      </c>
      <c r="C7" s="16" t="s">
        <v>283</v>
      </c>
      <c r="D7" s="16">
        <v>1</v>
      </c>
      <c r="E7" s="17">
        <v>14.55</v>
      </c>
      <c r="F7" s="17">
        <f t="shared" si="0"/>
        <v>14.55</v>
      </c>
    </row>
    <row r="8" ht="30" spans="1:6">
      <c r="A8" s="13"/>
      <c r="B8" s="15" t="s">
        <v>463</v>
      </c>
      <c r="C8" s="16" t="s">
        <v>464</v>
      </c>
      <c r="D8" s="16">
        <v>1</v>
      </c>
      <c r="E8" s="17">
        <v>73.39</v>
      </c>
      <c r="F8" s="17">
        <f t="shared" si="0"/>
        <v>73.39</v>
      </c>
    </row>
    <row r="9" ht="30" spans="1:6">
      <c r="A9" s="13"/>
      <c r="B9" s="15" t="s">
        <v>465</v>
      </c>
      <c r="C9" s="16" t="s">
        <v>464</v>
      </c>
      <c r="D9" s="16">
        <v>1</v>
      </c>
      <c r="E9" s="17">
        <v>17.89</v>
      </c>
      <c r="F9" s="17">
        <f t="shared" si="0"/>
        <v>17.89</v>
      </c>
    </row>
    <row r="10" spans="1:6">
      <c r="A10" s="13"/>
      <c r="B10" s="15" t="s">
        <v>466</v>
      </c>
      <c r="C10" s="16" t="s">
        <v>467</v>
      </c>
      <c r="D10" s="16">
        <v>10</v>
      </c>
      <c r="E10" s="17">
        <v>1.5</v>
      </c>
      <c r="F10" s="17">
        <f t="shared" si="0"/>
        <v>15</v>
      </c>
    </row>
    <row r="11" spans="1:6">
      <c r="A11" s="13"/>
      <c r="B11" s="15" t="s">
        <v>468</v>
      </c>
      <c r="C11" s="16" t="s">
        <v>469</v>
      </c>
      <c r="D11" s="16">
        <v>2</v>
      </c>
      <c r="E11" s="17">
        <v>9.44</v>
      </c>
      <c r="F11" s="17">
        <f t="shared" si="0"/>
        <v>18.88</v>
      </c>
    </row>
    <row r="12" spans="1:6">
      <c r="A12" s="13"/>
      <c r="B12" s="15" t="s">
        <v>470</v>
      </c>
      <c r="C12" s="16" t="s">
        <v>469</v>
      </c>
      <c r="D12" s="16">
        <v>5</v>
      </c>
      <c r="E12" s="17">
        <v>0.81</v>
      </c>
      <c r="F12" s="17">
        <f t="shared" si="0"/>
        <v>4.05</v>
      </c>
    </row>
    <row r="13" spans="1:6">
      <c r="A13" s="13"/>
      <c r="B13" s="15" t="s">
        <v>471</v>
      </c>
      <c r="C13" s="16" t="s">
        <v>472</v>
      </c>
      <c r="D13" s="16">
        <v>2</v>
      </c>
      <c r="E13" s="17">
        <v>3.4</v>
      </c>
      <c r="F13" s="17">
        <f t="shared" si="0"/>
        <v>6.8</v>
      </c>
    </row>
    <row r="14" spans="1:6">
      <c r="A14" s="13"/>
      <c r="B14" s="15" t="s">
        <v>473</v>
      </c>
      <c r="C14" s="16" t="s">
        <v>472</v>
      </c>
      <c r="D14" s="16">
        <v>2</v>
      </c>
      <c r="E14" s="17">
        <v>3.35</v>
      </c>
      <c r="F14" s="17">
        <f t="shared" si="0"/>
        <v>6.7</v>
      </c>
    </row>
    <row r="15" ht="45" spans="1:6">
      <c r="A15" s="16">
        <v>2</v>
      </c>
      <c r="B15" s="15" t="s">
        <v>474</v>
      </c>
      <c r="C15" s="16" t="s">
        <v>469</v>
      </c>
      <c r="D15" s="16">
        <v>1</v>
      </c>
      <c r="E15" s="17">
        <v>356</v>
      </c>
      <c r="F15" s="17">
        <f t="shared" si="0"/>
        <v>356</v>
      </c>
    </row>
    <row r="16" ht="30" spans="1:6">
      <c r="A16" s="16">
        <v>3</v>
      </c>
      <c r="B16" s="15" t="s">
        <v>475</v>
      </c>
      <c r="C16" s="16" t="s">
        <v>291</v>
      </c>
      <c r="D16" s="16">
        <v>1</v>
      </c>
      <c r="E16" s="17">
        <v>887.88</v>
      </c>
      <c r="F16" s="17">
        <f t="shared" si="0"/>
        <v>887.88</v>
      </c>
    </row>
    <row r="17" ht="30" spans="1:6">
      <c r="A17" s="16">
        <v>4</v>
      </c>
      <c r="B17" s="15" t="s">
        <v>476</v>
      </c>
      <c r="C17" s="16" t="s">
        <v>283</v>
      </c>
      <c r="D17" s="16">
        <v>3</v>
      </c>
      <c r="E17" s="17">
        <v>21.55</v>
      </c>
      <c r="F17" s="17">
        <f t="shared" si="0"/>
        <v>64.65</v>
      </c>
    </row>
    <row r="18" ht="30" spans="1:6">
      <c r="A18" s="16">
        <v>5</v>
      </c>
      <c r="B18" s="15" t="s">
        <v>477</v>
      </c>
      <c r="C18" s="16" t="s">
        <v>283</v>
      </c>
      <c r="D18" s="16">
        <v>6</v>
      </c>
      <c r="E18" s="17">
        <v>37.5</v>
      </c>
      <c r="F18" s="17">
        <f t="shared" si="0"/>
        <v>225</v>
      </c>
    </row>
    <row r="19" spans="1:6">
      <c r="A19" s="18" t="s">
        <v>244</v>
      </c>
      <c r="B19" s="18"/>
      <c r="C19" s="18"/>
      <c r="D19" s="18"/>
      <c r="E19" s="19">
        <f>TRUNC(SUM(F6:F18),2)</f>
        <v>1723.66</v>
      </c>
      <c r="F19" s="19"/>
    </row>
    <row r="20" spans="1:6">
      <c r="A20" s="11" t="s">
        <v>478</v>
      </c>
      <c r="B20" s="11"/>
      <c r="C20" s="11"/>
      <c r="D20" s="11"/>
      <c r="E20" s="20">
        <v>16</v>
      </c>
      <c r="F20" s="20"/>
    </row>
    <row r="21" spans="1:6">
      <c r="A21" s="11" t="s">
        <v>433</v>
      </c>
      <c r="B21" s="11"/>
      <c r="C21" s="11"/>
      <c r="D21" s="11"/>
      <c r="E21" s="21">
        <f>TRUNC((E19/E20)/12,2)</f>
        <v>8.97</v>
      </c>
      <c r="F21" s="21"/>
    </row>
  </sheetData>
  <mergeCells count="15">
    <mergeCell ref="A1:F1"/>
    <mergeCell ref="B5:D5"/>
    <mergeCell ref="A19:D19"/>
    <mergeCell ref="E19:F19"/>
    <mergeCell ref="A20:D20"/>
    <mergeCell ref="E20:F20"/>
    <mergeCell ref="A21:D21"/>
    <mergeCell ref="E21:F21"/>
    <mergeCell ref="A2:A4"/>
    <mergeCell ref="A5:A14"/>
    <mergeCell ref="B2:B4"/>
    <mergeCell ref="C2:C4"/>
    <mergeCell ref="D2:D4"/>
    <mergeCell ref="E2:E4"/>
    <mergeCell ref="F2:F4"/>
  </mergeCells>
  <pageMargins left="0.75" right="0.75" top="1" bottom="1" header="0.5" footer="0.5"/>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workbookViewId="0">
      <selection activeCell="I3" sqref="I3"/>
    </sheetView>
  </sheetViews>
  <sheetFormatPr defaultColWidth="8.88571428571429" defaultRowHeight="15" outlineLevelCol="6"/>
  <cols>
    <col min="2" max="2" width="31" customWidth="1"/>
    <col min="3" max="3" width="9.33333333333333" customWidth="1"/>
    <col min="4" max="4" width="14.2190476190476" customWidth="1"/>
    <col min="5" max="5" width="13.3333333333333" customWidth="1"/>
    <col min="6" max="6" width="14.8857142857143" customWidth="1"/>
    <col min="7" max="7" width="15" customWidth="1"/>
  </cols>
  <sheetData>
    <row r="1" ht="15.75" spans="1:7">
      <c r="A1" s="1" t="s">
        <v>479</v>
      </c>
      <c r="B1" s="2"/>
      <c r="C1" s="2"/>
      <c r="D1" s="2"/>
      <c r="E1" s="2"/>
      <c r="F1" s="2"/>
      <c r="G1" s="3"/>
    </row>
    <row r="2" ht="60.75" spans="1:7">
      <c r="A2" s="4" t="s">
        <v>2</v>
      </c>
      <c r="B2" s="4" t="s">
        <v>3</v>
      </c>
      <c r="C2" s="4" t="s">
        <v>283</v>
      </c>
      <c r="D2" s="4" t="s">
        <v>480</v>
      </c>
      <c r="E2" s="4" t="s">
        <v>481</v>
      </c>
      <c r="F2" s="4" t="s">
        <v>482</v>
      </c>
      <c r="G2" s="4" t="s">
        <v>483</v>
      </c>
    </row>
    <row r="3" ht="90" spans="1:7">
      <c r="A3" s="5">
        <v>1</v>
      </c>
      <c r="B3" s="6" t="s">
        <v>484</v>
      </c>
      <c r="C3" s="4" t="s">
        <v>485</v>
      </c>
      <c r="D3" s="5">
        <v>6</v>
      </c>
      <c r="E3" s="5">
        <v>12</v>
      </c>
      <c r="F3" s="7">
        <f>'Auxiliar Administrativo'!D147</f>
        <v>2961.02</v>
      </c>
      <c r="G3" s="7">
        <f>(D3*F3)*(E3)</f>
        <v>213193.44</v>
      </c>
    </row>
    <row r="4" ht="135" spans="1:7">
      <c r="A4" s="5">
        <v>2</v>
      </c>
      <c r="B4" s="6" t="s">
        <v>486</v>
      </c>
      <c r="C4" s="4" t="s">
        <v>485</v>
      </c>
      <c r="D4" s="5">
        <v>3</v>
      </c>
      <c r="E4" s="5">
        <v>12</v>
      </c>
      <c r="F4" s="7">
        <f>Portaria!D148</f>
        <v>6067</v>
      </c>
      <c r="G4" s="7">
        <f t="shared" ref="G4:G10" si="0">(D4*F4)*(E4)</f>
        <v>218412</v>
      </c>
    </row>
    <row r="5" ht="90" spans="1:7">
      <c r="A5" s="5">
        <v>3</v>
      </c>
      <c r="B5" s="6" t="s">
        <v>487</v>
      </c>
      <c r="C5" s="4" t="s">
        <v>485</v>
      </c>
      <c r="D5" s="5">
        <v>2</v>
      </c>
      <c r="E5" s="5">
        <v>12</v>
      </c>
      <c r="F5" s="7">
        <f>'Motorista Interestadual'!D147</f>
        <v>6392.16</v>
      </c>
      <c r="G5" s="7">
        <f t="shared" si="0"/>
        <v>153411.84</v>
      </c>
    </row>
    <row r="6" ht="75" spans="1:7">
      <c r="A6" s="5">
        <v>4</v>
      </c>
      <c r="B6" s="6" t="s">
        <v>488</v>
      </c>
      <c r="C6" s="4" t="s">
        <v>485</v>
      </c>
      <c r="D6" s="5">
        <v>1</v>
      </c>
      <c r="E6" s="5">
        <v>12</v>
      </c>
      <c r="F6" s="7">
        <f>Eletricista!D147</f>
        <v>4992.87</v>
      </c>
      <c r="G6" s="7">
        <f t="shared" si="0"/>
        <v>59914.44</v>
      </c>
    </row>
    <row r="7" ht="75" spans="1:7">
      <c r="A7" s="5">
        <v>5</v>
      </c>
      <c r="B7" s="6" t="s">
        <v>489</v>
      </c>
      <c r="C7" s="4" t="s">
        <v>485</v>
      </c>
      <c r="D7" s="5">
        <v>1</v>
      </c>
      <c r="E7" s="5">
        <v>12</v>
      </c>
      <c r="F7" s="7">
        <f>Pedreiro!D147</f>
        <v>3904.2</v>
      </c>
      <c r="G7" s="7">
        <f t="shared" si="0"/>
        <v>46850.4</v>
      </c>
    </row>
    <row r="8" ht="75" spans="1:7">
      <c r="A8" s="5">
        <v>6</v>
      </c>
      <c r="B8" s="6" t="s">
        <v>490</v>
      </c>
      <c r="C8" s="4" t="s">
        <v>485</v>
      </c>
      <c r="D8" s="5">
        <v>1</v>
      </c>
      <c r="E8" s="5">
        <v>12</v>
      </c>
      <c r="F8" s="7">
        <f>Pintor!D147</f>
        <v>3900.71</v>
      </c>
      <c r="G8" s="7">
        <f t="shared" si="0"/>
        <v>46808.52</v>
      </c>
    </row>
    <row r="9" ht="90" spans="1:7">
      <c r="A9" s="5">
        <v>7</v>
      </c>
      <c r="B9" s="6" t="s">
        <v>491</v>
      </c>
      <c r="C9" s="4" t="s">
        <v>485</v>
      </c>
      <c r="D9" s="5">
        <v>1</v>
      </c>
      <c r="E9" s="5">
        <v>12</v>
      </c>
      <c r="F9" s="7">
        <f>'Técnico em Refrigeração'!D147</f>
        <v>4629.62</v>
      </c>
      <c r="G9" s="7">
        <f t="shared" si="0"/>
        <v>55555.44</v>
      </c>
    </row>
    <row r="10" ht="75" spans="1:7">
      <c r="A10" s="5">
        <v>8</v>
      </c>
      <c r="B10" s="6" t="s">
        <v>492</v>
      </c>
      <c r="C10" s="4" t="s">
        <v>485</v>
      </c>
      <c r="D10" s="5">
        <v>1</v>
      </c>
      <c r="E10" s="5">
        <v>12</v>
      </c>
      <c r="F10" s="7">
        <f>Jardineiro!D147</f>
        <v>3020.03</v>
      </c>
      <c r="G10" s="7">
        <f t="shared" si="0"/>
        <v>36240.36</v>
      </c>
    </row>
    <row r="11" ht="90" spans="1:7">
      <c r="A11" s="5">
        <v>9</v>
      </c>
      <c r="B11" s="6" t="s">
        <v>493</v>
      </c>
      <c r="C11" s="4" t="s">
        <v>494</v>
      </c>
      <c r="D11" s="5">
        <v>360</v>
      </c>
      <c r="E11" s="5">
        <v>12</v>
      </c>
      <c r="F11" s="7">
        <f>Diárias!E21</f>
        <v>190.08</v>
      </c>
      <c r="G11" s="7">
        <f>(D11*F11)</f>
        <v>68428.8</v>
      </c>
    </row>
    <row r="12" spans="1:7">
      <c r="A12" s="8" t="s">
        <v>190</v>
      </c>
      <c r="B12" s="8"/>
      <c r="C12" s="8"/>
      <c r="D12" s="8"/>
      <c r="E12" s="8"/>
      <c r="F12" s="8"/>
      <c r="G12" s="9">
        <f>SUM(G3:G11)</f>
        <v>898815.24</v>
      </c>
    </row>
    <row r="13" spans="1:7">
      <c r="A13" s="10"/>
      <c r="B13" s="10"/>
      <c r="C13" s="10"/>
      <c r="D13" s="10"/>
      <c r="E13" s="10"/>
      <c r="F13" s="10"/>
      <c r="G13" s="10"/>
    </row>
    <row r="14" spans="1:7">
      <c r="A14" s="8"/>
      <c r="B14" s="8"/>
      <c r="C14" s="8"/>
      <c r="D14" s="8"/>
      <c r="E14" s="8"/>
      <c r="F14" s="8"/>
      <c r="G14" s="8"/>
    </row>
    <row r="15" spans="1:7">
      <c r="A15" s="8"/>
      <c r="B15" s="8"/>
      <c r="C15" s="8"/>
      <c r="D15" s="8"/>
      <c r="E15" s="8"/>
      <c r="F15" s="8"/>
      <c r="G15" s="8"/>
    </row>
  </sheetData>
  <mergeCells count="1">
    <mergeCell ref="A1:G1"/>
  </mergeCells>
  <pageMargins left="0.75" right="0.75" top="1" bottom="1" header="0.5" footer="0.5"/>
  <pageSetup paperSize="9" orientation="landscape"/>
  <headerFooter/>
  <tableParts count="1">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48"/>
  <sheetViews>
    <sheetView showGridLines="0" zoomScale="85" zoomScaleNormal="85" workbookViewId="0">
      <selection activeCell="A1" sqref="A1:D1"/>
    </sheetView>
  </sheetViews>
  <sheetFormatPr defaultColWidth="9" defaultRowHeight="15"/>
  <cols>
    <col min="1" max="1" width="12.4190476190476" customWidth="1"/>
    <col min="2" max="2" width="76.4095238095238" customWidth="1"/>
    <col min="3" max="3" width="28.4190476190476" customWidth="1"/>
    <col min="4" max="4" width="27.4190476190476" customWidth="1"/>
    <col min="5" max="5" width="9" customWidth="1"/>
    <col min="6" max="6" width="32.7142857142857" customWidth="1"/>
    <col min="7" max="7" width="13.0190476190476" customWidth="1"/>
    <col min="8" max="1025" width="9" customWidth="1"/>
  </cols>
  <sheetData>
    <row r="1" spans="1:21">
      <c r="A1" s="308" t="s">
        <v>0</v>
      </c>
      <c r="B1" s="308"/>
      <c r="C1" s="308"/>
      <c r="D1" s="308"/>
      <c r="F1" s="260" t="s">
        <v>1</v>
      </c>
      <c r="G1" s="260"/>
      <c r="H1" s="270"/>
      <c r="I1" s="270"/>
      <c r="J1" s="270"/>
      <c r="K1" s="270"/>
      <c r="L1" s="270"/>
      <c r="M1" s="270"/>
      <c r="N1" s="270"/>
      <c r="O1" s="270"/>
      <c r="P1" s="270"/>
      <c r="Q1" s="270"/>
      <c r="R1" s="270"/>
      <c r="S1" s="270"/>
      <c r="T1" s="270"/>
      <c r="U1" s="270"/>
    </row>
    <row r="2" spans="1:21">
      <c r="A2" s="261" t="s">
        <v>2</v>
      </c>
      <c r="B2" t="s">
        <v>3</v>
      </c>
      <c r="C2" s="261" t="s">
        <v>4</v>
      </c>
      <c r="D2" s="261" t="s">
        <v>5</v>
      </c>
      <c r="F2" s="265" t="s">
        <v>3</v>
      </c>
      <c r="G2" s="265" t="s">
        <v>5</v>
      </c>
      <c r="H2" s="270"/>
      <c r="I2" s="270"/>
      <c r="J2" s="270"/>
      <c r="K2" s="270"/>
      <c r="L2" s="270"/>
      <c r="M2" s="270"/>
      <c r="N2" s="270"/>
      <c r="O2" s="270"/>
      <c r="P2" s="270"/>
      <c r="Q2" s="270"/>
      <c r="R2" s="270"/>
      <c r="S2" s="270"/>
      <c r="T2" s="270"/>
      <c r="U2" s="270"/>
    </row>
    <row r="3" spans="1:21">
      <c r="A3" s="261">
        <v>1</v>
      </c>
      <c r="B3" t="s">
        <v>6</v>
      </c>
      <c r="C3" s="261"/>
      <c r="D3" s="261" t="s">
        <v>7</v>
      </c>
      <c r="F3" t="s">
        <v>8</v>
      </c>
      <c r="G3" s="309">
        <v>0</v>
      </c>
      <c r="H3" s="270"/>
      <c r="I3" s="270"/>
      <c r="J3" s="270"/>
      <c r="K3" s="270"/>
      <c r="L3" s="270"/>
      <c r="M3" s="270"/>
      <c r="N3" s="270"/>
      <c r="O3" s="270"/>
      <c r="P3" s="270"/>
      <c r="Q3" s="270"/>
      <c r="R3" s="270"/>
      <c r="S3" s="270"/>
      <c r="T3" s="270"/>
      <c r="U3" s="270"/>
    </row>
    <row r="4" spans="1:21">
      <c r="A4" s="261">
        <v>2</v>
      </c>
      <c r="B4" t="s">
        <v>9</v>
      </c>
      <c r="C4" s="261"/>
      <c r="D4" s="261" t="s">
        <v>10</v>
      </c>
      <c r="F4" t="s">
        <v>11</v>
      </c>
      <c r="G4" s="309">
        <v>12</v>
      </c>
      <c r="H4" s="270"/>
      <c r="I4" s="270"/>
      <c r="J4" s="270"/>
      <c r="K4" s="270"/>
      <c r="L4" s="270"/>
      <c r="M4" s="270"/>
      <c r="N4" s="270"/>
      <c r="O4" s="270"/>
      <c r="P4" s="270"/>
      <c r="Q4" s="270"/>
      <c r="R4" s="270"/>
      <c r="S4" s="270"/>
      <c r="T4" s="270"/>
      <c r="U4" s="270"/>
    </row>
    <row r="5" spans="1:21">
      <c r="A5" s="261">
        <v>3</v>
      </c>
      <c r="B5" t="s">
        <v>12</v>
      </c>
      <c r="C5" s="261" t="s">
        <v>13</v>
      </c>
      <c r="D5" s="310">
        <v>998</v>
      </c>
      <c r="F5" t="s">
        <v>14</v>
      </c>
      <c r="G5" s="262">
        <v>22</v>
      </c>
      <c r="H5" s="270"/>
      <c r="I5" s="270"/>
      <c r="J5" s="270"/>
      <c r="K5" s="270"/>
      <c r="L5" s="270"/>
      <c r="M5" s="270"/>
      <c r="N5" s="270"/>
      <c r="O5" s="270"/>
      <c r="P5" s="270"/>
      <c r="Q5" s="270"/>
      <c r="R5" s="270"/>
      <c r="S5" s="270"/>
      <c r="T5" s="270"/>
      <c r="U5" s="270"/>
    </row>
    <row r="6" spans="1:21">
      <c r="A6" s="261">
        <v>4</v>
      </c>
      <c r="B6" t="s">
        <v>15</v>
      </c>
      <c r="C6" s="261" t="s">
        <v>16</v>
      </c>
      <c r="D6" s="261" t="s">
        <v>17</v>
      </c>
      <c r="F6" t="s">
        <v>18</v>
      </c>
      <c r="G6" s="311">
        <v>0.03</v>
      </c>
      <c r="H6" s="270"/>
      <c r="I6" s="270"/>
      <c r="J6" s="270"/>
      <c r="K6" s="270"/>
      <c r="L6" s="270"/>
      <c r="M6" s="270"/>
      <c r="N6" s="270"/>
      <c r="O6" s="270"/>
      <c r="P6" s="270"/>
      <c r="Q6" s="270"/>
      <c r="R6" s="270"/>
      <c r="S6" s="270"/>
      <c r="T6" s="270"/>
      <c r="U6" s="270"/>
    </row>
    <row r="7" spans="1:21">
      <c r="A7" s="261">
        <v>5</v>
      </c>
      <c r="B7" t="s">
        <v>19</v>
      </c>
      <c r="C7" s="261"/>
      <c r="D7" s="261" t="s">
        <v>20</v>
      </c>
      <c r="H7" s="270"/>
      <c r="I7" s="270"/>
      <c r="J7" s="270"/>
      <c r="K7" s="270"/>
      <c r="L7" s="270"/>
      <c r="M7" s="270"/>
      <c r="N7" s="270"/>
      <c r="O7" s="270"/>
      <c r="P7" s="270"/>
      <c r="Q7" s="270"/>
      <c r="R7" s="270"/>
      <c r="S7" s="270"/>
      <c r="T7" s="270"/>
      <c r="U7" s="270"/>
    </row>
    <row r="8" spans="6:21">
      <c r="F8" s="260" t="s">
        <v>21</v>
      </c>
      <c r="G8" s="260"/>
      <c r="H8" s="270"/>
      <c r="I8" s="270"/>
      <c r="J8" s="270"/>
      <c r="K8" s="270"/>
      <c r="L8" s="270"/>
      <c r="M8" s="270"/>
      <c r="N8" s="270"/>
      <c r="O8" s="270"/>
      <c r="P8" s="270"/>
      <c r="Q8" s="270"/>
      <c r="R8" s="270"/>
      <c r="S8" s="270"/>
      <c r="T8" s="270"/>
      <c r="U8" s="270"/>
    </row>
    <row r="9" spans="1:21">
      <c r="A9" s="244" t="s">
        <v>22</v>
      </c>
      <c r="B9" s="244"/>
      <c r="C9" s="244"/>
      <c r="D9" s="244"/>
      <c r="F9" s="265" t="s">
        <v>23</v>
      </c>
      <c r="G9" s="265" t="s">
        <v>24</v>
      </c>
      <c r="H9" s="270"/>
      <c r="I9" s="270"/>
      <c r="J9" s="270"/>
      <c r="K9" s="270"/>
      <c r="L9" s="270"/>
      <c r="M9" s="270"/>
      <c r="N9" s="270"/>
      <c r="O9" s="270"/>
      <c r="P9" s="270"/>
      <c r="Q9" s="270"/>
      <c r="R9" s="270"/>
      <c r="S9" s="270"/>
      <c r="T9" s="270"/>
      <c r="U9" s="270"/>
    </row>
    <row r="10" spans="1:21">
      <c r="A10" s="261" t="s">
        <v>25</v>
      </c>
      <c r="B10" s="265" t="s">
        <v>26</v>
      </c>
      <c r="C10" s="261" t="s">
        <v>4</v>
      </c>
      <c r="D10" s="261" t="s">
        <v>5</v>
      </c>
      <c r="F10" t="s">
        <v>27</v>
      </c>
      <c r="G10" s="266">
        <v>0.4337</v>
      </c>
      <c r="H10" s="270"/>
      <c r="I10" s="270"/>
      <c r="J10" s="270"/>
      <c r="K10" s="270"/>
      <c r="L10" s="270"/>
      <c r="M10" s="270"/>
      <c r="N10" s="270"/>
      <c r="O10" s="270"/>
      <c r="P10" s="270"/>
      <c r="Q10" s="270"/>
      <c r="R10" s="270"/>
      <c r="S10" s="270"/>
      <c r="T10" s="270"/>
      <c r="U10" s="270"/>
    </row>
    <row r="11" spans="1:21">
      <c r="A11" s="261" t="s">
        <v>28</v>
      </c>
      <c r="B11" t="s">
        <v>29</v>
      </c>
      <c r="C11" s="261"/>
      <c r="D11" s="267">
        <f>Salário_Normativo_da_Categoria_Profissional</f>
        <v>998</v>
      </c>
      <c r="F11" t="s">
        <v>30</v>
      </c>
      <c r="G11" s="266">
        <v>0.4337</v>
      </c>
      <c r="H11" s="270"/>
      <c r="I11" s="270"/>
      <c r="J11" s="270"/>
      <c r="K11" s="270"/>
      <c r="L11" s="270"/>
      <c r="M11" s="270"/>
      <c r="N11" s="270"/>
      <c r="O11" s="270"/>
      <c r="P11" s="270"/>
      <c r="Q11" s="270"/>
      <c r="R11" s="270"/>
      <c r="S11" s="270"/>
      <c r="T11" s="270"/>
      <c r="U11" s="270"/>
    </row>
    <row r="12" spans="1:21">
      <c r="A12" s="261" t="s">
        <v>31</v>
      </c>
      <c r="B12" t="s">
        <v>32</v>
      </c>
      <c r="C12" s="261"/>
      <c r="D12" s="267"/>
      <c r="F12" t="s">
        <v>33</v>
      </c>
      <c r="G12" s="266">
        <v>0.0218</v>
      </c>
      <c r="H12" s="270"/>
      <c r="I12" s="270"/>
      <c r="J12" s="270"/>
      <c r="K12" s="270"/>
      <c r="L12" s="270"/>
      <c r="M12" s="270"/>
      <c r="N12" s="270"/>
      <c r="O12" s="270"/>
      <c r="P12" s="270"/>
      <c r="Q12" s="270"/>
      <c r="R12" s="270"/>
      <c r="S12" s="270"/>
      <c r="T12" s="270"/>
      <c r="U12" s="270"/>
    </row>
    <row r="13" spans="1:21">
      <c r="A13" s="261" t="s">
        <v>34</v>
      </c>
      <c r="B13" t="s">
        <v>35</v>
      </c>
      <c r="C13" s="261"/>
      <c r="D13" s="267"/>
      <c r="H13" s="270"/>
      <c r="I13" s="270"/>
      <c r="J13" s="270"/>
      <c r="K13" s="270"/>
      <c r="L13" s="270"/>
      <c r="M13" s="270"/>
      <c r="N13" s="270"/>
      <c r="O13" s="270"/>
      <c r="P13" s="270"/>
      <c r="Q13" s="270"/>
      <c r="R13" s="270"/>
      <c r="S13" s="270"/>
      <c r="T13" s="270"/>
      <c r="U13" s="270"/>
    </row>
    <row r="14" spans="1:21">
      <c r="A14" s="261" t="s">
        <v>36</v>
      </c>
      <c r="B14" t="s">
        <v>37</v>
      </c>
      <c r="C14" s="261"/>
      <c r="D14" s="267"/>
      <c r="F14" s="260" t="s">
        <v>38</v>
      </c>
      <c r="G14" s="260"/>
      <c r="H14" s="270"/>
      <c r="I14" s="270"/>
      <c r="J14" s="270"/>
      <c r="K14" s="270"/>
      <c r="L14" s="270"/>
      <c r="M14" s="270"/>
      <c r="N14" s="270"/>
      <c r="O14" s="270"/>
      <c r="P14" s="270"/>
      <c r="Q14" s="270"/>
      <c r="R14" s="270"/>
      <c r="S14" s="270"/>
      <c r="T14" s="270"/>
      <c r="U14" s="270"/>
    </row>
    <row r="15" spans="1:21">
      <c r="A15" s="261" t="s">
        <v>39</v>
      </c>
      <c r="B15" t="s">
        <v>40</v>
      </c>
      <c r="C15" s="261"/>
      <c r="D15" s="267"/>
      <c r="F15" s="312" t="s">
        <v>3</v>
      </c>
      <c r="G15" s="312" t="s">
        <v>24</v>
      </c>
      <c r="H15" s="270"/>
      <c r="I15" s="270"/>
      <c r="J15" s="270"/>
      <c r="K15" s="270"/>
      <c r="L15" s="270"/>
      <c r="M15" s="270"/>
      <c r="N15" s="270"/>
      <c r="O15" s="270"/>
      <c r="P15" s="270"/>
      <c r="Q15" s="270"/>
      <c r="R15" s="270"/>
      <c r="S15" s="270"/>
      <c r="T15" s="270"/>
      <c r="U15" s="270"/>
    </row>
    <row r="16" spans="1:21">
      <c r="A16" s="261" t="s">
        <v>41</v>
      </c>
      <c r="B16" t="s">
        <v>42</v>
      </c>
      <c r="C16" s="261"/>
      <c r="D16" s="267"/>
      <c r="F16" s="270" t="s">
        <v>43</v>
      </c>
      <c r="G16" s="313">
        <v>0.0471</v>
      </c>
      <c r="H16" s="270"/>
      <c r="I16" s="270"/>
      <c r="J16" s="270"/>
      <c r="K16" s="270"/>
      <c r="L16" s="270"/>
      <c r="M16" s="270"/>
      <c r="N16" s="270"/>
      <c r="O16" s="270"/>
      <c r="P16" s="270"/>
      <c r="Q16" s="270"/>
      <c r="R16" s="270"/>
      <c r="S16" s="270"/>
      <c r="T16" s="270"/>
      <c r="U16" s="270"/>
    </row>
    <row r="17" spans="1:21">
      <c r="A17" s="261" t="s">
        <v>44</v>
      </c>
      <c r="C17" s="261"/>
      <c r="D17" s="267">
        <v>998</v>
      </c>
      <c r="F17" s="270" t="s">
        <v>45</v>
      </c>
      <c r="G17" s="313">
        <v>0.0467</v>
      </c>
      <c r="H17" s="270"/>
      <c r="I17" s="270"/>
      <c r="J17" s="270"/>
      <c r="K17" s="270"/>
      <c r="L17" s="270"/>
      <c r="M17" s="270"/>
      <c r="N17" s="270"/>
      <c r="O17" s="270"/>
      <c r="P17" s="270"/>
      <c r="Q17" s="270"/>
      <c r="R17" s="270"/>
      <c r="S17" s="270"/>
      <c r="T17" s="270"/>
      <c r="U17" s="270"/>
    </row>
    <row r="18" spans="6:21">
      <c r="F18" s="270" t="s">
        <v>46</v>
      </c>
      <c r="G18" s="314">
        <v>0.0165</v>
      </c>
      <c r="H18" s="270"/>
      <c r="I18" s="270"/>
      <c r="J18" s="270"/>
      <c r="K18" s="270"/>
      <c r="L18" s="270"/>
      <c r="M18" s="270"/>
      <c r="N18" s="270"/>
      <c r="O18" s="270"/>
      <c r="P18" s="270"/>
      <c r="Q18" s="270"/>
      <c r="R18" s="270"/>
      <c r="S18" s="270"/>
      <c r="T18" s="270"/>
      <c r="U18" s="270"/>
    </row>
    <row r="19" spans="1:21">
      <c r="A19" s="268" t="s">
        <v>47</v>
      </c>
      <c r="B19" s="268"/>
      <c r="C19" s="268"/>
      <c r="D19" s="268"/>
      <c r="F19" s="270" t="s">
        <v>48</v>
      </c>
      <c r="G19" s="314">
        <v>0.076</v>
      </c>
      <c r="H19" s="270"/>
      <c r="I19" s="270"/>
      <c r="J19" s="270"/>
      <c r="K19" s="270"/>
      <c r="L19" s="270"/>
      <c r="M19" s="270"/>
      <c r="N19" s="270"/>
      <c r="O19" s="270"/>
      <c r="P19" s="270"/>
      <c r="Q19" s="270"/>
      <c r="R19" s="270"/>
      <c r="S19" s="270"/>
      <c r="T19" s="270"/>
      <c r="U19" s="270"/>
    </row>
    <row r="20" spans="1:21">
      <c r="A20" s="260" t="s">
        <v>49</v>
      </c>
      <c r="B20" s="260"/>
      <c r="C20" s="260"/>
      <c r="D20" s="260"/>
      <c r="F20" s="270" t="s">
        <v>50</v>
      </c>
      <c r="G20" s="314">
        <v>0.05</v>
      </c>
      <c r="H20" s="270"/>
      <c r="I20" s="270"/>
      <c r="J20" s="270"/>
      <c r="K20" s="270"/>
      <c r="L20" s="270"/>
      <c r="M20" s="270"/>
      <c r="N20" s="270"/>
      <c r="O20" s="270"/>
      <c r="P20" s="270"/>
      <c r="Q20" s="270"/>
      <c r="R20" s="270"/>
      <c r="S20" s="270"/>
      <c r="T20" s="270"/>
      <c r="U20" s="270"/>
    </row>
    <row r="21" spans="1:21">
      <c r="A21" s="261" t="s">
        <v>51</v>
      </c>
      <c r="B21" s="265" t="s">
        <v>52</v>
      </c>
      <c r="C21" s="261" t="s">
        <v>4</v>
      </c>
      <c r="D21" s="261" t="s">
        <v>5</v>
      </c>
      <c r="F21" s="270"/>
      <c r="G21" s="270"/>
      <c r="H21" s="270"/>
      <c r="I21" s="270"/>
      <c r="J21" s="270"/>
      <c r="K21" s="270"/>
      <c r="L21" s="270"/>
      <c r="M21" s="270"/>
      <c r="N21" s="270"/>
      <c r="O21" s="270"/>
      <c r="P21" s="270"/>
      <c r="Q21" s="270"/>
      <c r="R21" s="270"/>
      <c r="S21" s="270"/>
      <c r="T21" s="270"/>
      <c r="U21" s="270"/>
    </row>
    <row r="22" spans="1:21">
      <c r="A22" s="261" t="s">
        <v>28</v>
      </c>
      <c r="B22" t="s">
        <v>53</v>
      </c>
      <c r="D22" s="267">
        <v>83.1666666666667</v>
      </c>
      <c r="F22" s="270"/>
      <c r="G22" s="270"/>
      <c r="H22" s="270"/>
      <c r="I22" s="270"/>
      <c r="J22" s="270"/>
      <c r="K22" s="270"/>
      <c r="L22" s="270"/>
      <c r="M22" s="270"/>
      <c r="N22" s="270"/>
      <c r="O22" s="270"/>
      <c r="P22" s="270"/>
      <c r="Q22" s="270"/>
      <c r="R22" s="270"/>
      <c r="S22" s="270"/>
      <c r="T22" s="270"/>
      <c r="U22" s="270"/>
    </row>
    <row r="23" spans="1:21">
      <c r="A23" s="261" t="s">
        <v>31</v>
      </c>
      <c r="B23" t="s">
        <v>54</v>
      </c>
      <c r="D23" s="267">
        <v>110.888888888889</v>
      </c>
      <c r="F23" s="270"/>
      <c r="G23" s="270"/>
      <c r="H23" s="270"/>
      <c r="I23" s="270"/>
      <c r="J23" s="270"/>
      <c r="K23" s="270"/>
      <c r="L23" s="270"/>
      <c r="M23" s="270"/>
      <c r="N23" s="270"/>
      <c r="O23" s="270"/>
      <c r="P23" s="270"/>
      <c r="Q23" s="270"/>
      <c r="R23" s="270"/>
      <c r="S23" s="270"/>
      <c r="T23" s="270"/>
      <c r="U23" s="270"/>
    </row>
    <row r="24" spans="1:21">
      <c r="A24" s="261" t="s">
        <v>44</v>
      </c>
      <c r="D24" s="267">
        <v>194.055555555556</v>
      </c>
      <c r="F24" s="270"/>
      <c r="G24" s="270"/>
      <c r="H24" s="270"/>
      <c r="I24" s="270"/>
      <c r="J24" s="270"/>
      <c r="K24" s="270"/>
      <c r="L24" s="270"/>
      <c r="M24" s="270"/>
      <c r="N24" s="270"/>
      <c r="O24" s="270"/>
      <c r="P24" s="270"/>
      <c r="Q24" s="270"/>
      <c r="R24" s="270"/>
      <c r="S24" s="270"/>
      <c r="T24" s="270"/>
      <c r="U24" s="270"/>
    </row>
    <row r="25" spans="1:21">
      <c r="A25" s="261"/>
      <c r="D25" s="267"/>
      <c r="F25" s="270"/>
      <c r="G25" s="270"/>
      <c r="H25" s="270"/>
      <c r="I25" s="270"/>
      <c r="J25" s="270"/>
      <c r="K25" s="270"/>
      <c r="L25" s="270"/>
      <c r="M25" s="270"/>
      <c r="N25" s="270"/>
      <c r="O25" s="270"/>
      <c r="P25" s="270"/>
      <c r="Q25" s="270"/>
      <c r="R25" s="270"/>
      <c r="S25" s="270"/>
      <c r="T25" s="270"/>
      <c r="U25" s="270"/>
    </row>
    <row r="26" spans="1:21">
      <c r="A26" s="315" t="s">
        <v>55</v>
      </c>
      <c r="B26" s="315"/>
      <c r="C26" s="315"/>
      <c r="D26" s="315"/>
      <c r="F26" s="270"/>
      <c r="G26" s="270"/>
      <c r="H26" s="270"/>
      <c r="I26" s="270"/>
      <c r="J26" s="270"/>
      <c r="K26" s="270"/>
      <c r="L26" s="270"/>
      <c r="M26" s="270"/>
      <c r="N26" s="270"/>
      <c r="O26" s="270"/>
      <c r="P26" s="270"/>
      <c r="Q26" s="270"/>
      <c r="R26" s="270"/>
      <c r="S26" s="270"/>
      <c r="T26" s="270"/>
      <c r="U26" s="270"/>
    </row>
    <row r="27" spans="1:21">
      <c r="A27" s="315" t="s">
        <v>2</v>
      </c>
      <c r="B27" s="315" t="s">
        <v>56</v>
      </c>
      <c r="C27" s="315" t="s">
        <v>57</v>
      </c>
      <c r="D27" s="316" t="s">
        <v>58</v>
      </c>
      <c r="F27" s="270"/>
      <c r="G27" s="270"/>
      <c r="H27" s="270"/>
      <c r="I27" s="270"/>
      <c r="J27" s="270"/>
      <c r="K27" s="270"/>
      <c r="L27" s="270"/>
      <c r="M27" s="270"/>
      <c r="N27" s="270"/>
      <c r="O27" s="270"/>
      <c r="P27" s="270"/>
      <c r="Q27" s="270"/>
      <c r="R27" s="270"/>
      <c r="S27" s="270"/>
      <c r="T27" s="270"/>
      <c r="U27" s="270"/>
    </row>
    <row r="28" ht="30" spans="1:21">
      <c r="A28" s="279" t="s">
        <v>28</v>
      </c>
      <c r="B28" s="317" t="s">
        <v>59</v>
      </c>
      <c r="C28" s="318" t="s">
        <v>60</v>
      </c>
      <c r="D28" s="317" t="s">
        <v>61</v>
      </c>
      <c r="F28" s="270"/>
      <c r="G28" s="270"/>
      <c r="H28" s="270"/>
      <c r="I28" s="270"/>
      <c r="J28" s="270"/>
      <c r="K28" s="270"/>
      <c r="L28" s="270"/>
      <c r="M28" s="270"/>
      <c r="N28" s="270"/>
      <c r="O28" s="270"/>
      <c r="P28" s="270"/>
      <c r="Q28" s="270"/>
      <c r="R28" s="270"/>
      <c r="S28" s="270"/>
      <c r="T28" s="270"/>
      <c r="U28" s="270"/>
    </row>
    <row r="29" ht="30" spans="1:21">
      <c r="A29" s="279" t="s">
        <v>31</v>
      </c>
      <c r="B29" s="319" t="s">
        <v>54</v>
      </c>
      <c r="C29" s="318" t="s">
        <v>60</v>
      </c>
      <c r="D29" s="317" t="s">
        <v>62</v>
      </c>
      <c r="F29" s="270"/>
      <c r="G29" s="270"/>
      <c r="H29" s="270"/>
      <c r="I29" s="270"/>
      <c r="J29" s="270"/>
      <c r="K29" s="270"/>
      <c r="L29" s="270"/>
      <c r="M29" s="270"/>
      <c r="N29" s="270"/>
      <c r="O29" s="270"/>
      <c r="P29" s="270"/>
      <c r="Q29" s="270"/>
      <c r="R29" s="270"/>
      <c r="S29" s="270"/>
      <c r="T29" s="270"/>
      <c r="U29" s="270"/>
    </row>
    <row r="30" spans="1:21">
      <c r="A30" s="261"/>
      <c r="B30" s="261"/>
      <c r="C30" s="289"/>
      <c r="F30" s="270"/>
      <c r="G30" s="270"/>
      <c r="H30" s="270"/>
      <c r="I30" s="270"/>
      <c r="J30" s="270"/>
      <c r="K30" s="270"/>
      <c r="L30" s="270"/>
      <c r="M30" s="270"/>
      <c r="N30" s="270"/>
      <c r="O30" s="270"/>
      <c r="P30" s="270"/>
      <c r="Q30" s="270"/>
      <c r="R30" s="270"/>
      <c r="S30" s="270"/>
      <c r="T30" s="270"/>
      <c r="U30" s="270"/>
    </row>
    <row r="31" spans="1:4">
      <c r="A31" s="260" t="s">
        <v>63</v>
      </c>
      <c r="B31" s="260"/>
      <c r="C31" s="260"/>
      <c r="D31" s="260"/>
    </row>
    <row r="32" spans="1:4">
      <c r="A32" s="261" t="s">
        <v>64</v>
      </c>
      <c r="B32" s="265" t="s">
        <v>65</v>
      </c>
      <c r="C32" s="261" t="s">
        <v>24</v>
      </c>
      <c r="D32" s="261" t="s">
        <v>66</v>
      </c>
    </row>
    <row r="33" spans="1:4">
      <c r="A33" s="261" t="s">
        <v>28</v>
      </c>
      <c r="B33" t="s">
        <v>67</v>
      </c>
      <c r="C33" s="269">
        <v>0.2</v>
      </c>
      <c r="D33" s="267">
        <v>238.411111111111</v>
      </c>
    </row>
    <row r="34" spans="1:4">
      <c r="A34" s="261" t="s">
        <v>31</v>
      </c>
      <c r="B34" t="s">
        <v>68</v>
      </c>
      <c r="C34" s="269">
        <v>0.025</v>
      </c>
      <c r="D34" s="267">
        <v>29.8013888888889</v>
      </c>
    </row>
    <row r="35" spans="1:4">
      <c r="A35" s="261" t="s">
        <v>34</v>
      </c>
      <c r="B35" t="s">
        <v>69</v>
      </c>
      <c r="C35" s="269">
        <f>Servente!G6</f>
        <v>0.03</v>
      </c>
      <c r="D35" s="267">
        <v>35.7616666666667</v>
      </c>
    </row>
    <row r="36" spans="1:4">
      <c r="A36" s="261" t="s">
        <v>36</v>
      </c>
      <c r="B36" t="s">
        <v>70</v>
      </c>
      <c r="C36" s="269">
        <v>0.015</v>
      </c>
      <c r="D36" s="267">
        <v>17.8808333333333</v>
      </c>
    </row>
    <row r="37" spans="1:4">
      <c r="A37" s="261" t="s">
        <v>39</v>
      </c>
      <c r="B37" t="s">
        <v>71</v>
      </c>
      <c r="C37" s="269">
        <v>0.01</v>
      </c>
      <c r="D37" s="267">
        <v>11.9205555555556</v>
      </c>
    </row>
    <row r="38" spans="1:4">
      <c r="A38" s="261" t="s">
        <v>41</v>
      </c>
      <c r="B38" t="s">
        <v>72</v>
      </c>
      <c r="C38" s="269">
        <v>0.006</v>
      </c>
      <c r="D38" s="267">
        <v>7.15233333333333</v>
      </c>
    </row>
    <row r="39" spans="1:4">
      <c r="A39" s="261" t="s">
        <v>73</v>
      </c>
      <c r="B39" t="s">
        <v>74</v>
      </c>
      <c r="C39" s="269">
        <v>0.002</v>
      </c>
      <c r="D39" s="267">
        <v>2.38411111111111</v>
      </c>
    </row>
    <row r="40" spans="1:4">
      <c r="A40" s="261" t="s">
        <v>75</v>
      </c>
      <c r="B40" t="s">
        <v>76</v>
      </c>
      <c r="C40" s="269">
        <v>0.08</v>
      </c>
      <c r="D40" s="267">
        <v>95.3644444444445</v>
      </c>
    </row>
    <row r="41" spans="1:4">
      <c r="A41" s="261" t="s">
        <v>44</v>
      </c>
      <c r="C41" s="276">
        <f>SUBTOTAL(109,Submódulo2.2[Percentual])</f>
        <v>0.368</v>
      </c>
      <c r="D41" s="267">
        <f>SUBTOTAL(109,Submódulo2.2[Valor ])</f>
        <v>438.676444444444</v>
      </c>
    </row>
    <row r="42" spans="1:4">
      <c r="A42" s="261"/>
      <c r="C42" s="276"/>
      <c r="D42" s="267"/>
    </row>
    <row r="43" spans="1:4">
      <c r="A43" s="315" t="s">
        <v>77</v>
      </c>
      <c r="B43" s="315"/>
      <c r="C43" s="315"/>
      <c r="D43" s="315"/>
    </row>
    <row r="44" spans="1:4">
      <c r="A44" s="315" t="s">
        <v>2</v>
      </c>
      <c r="B44" s="315" t="s">
        <v>56</v>
      </c>
      <c r="C44" s="315" t="s">
        <v>57</v>
      </c>
      <c r="D44" s="316" t="s">
        <v>58</v>
      </c>
    </row>
    <row r="45" ht="30" spans="1:4">
      <c r="A45" s="279" t="s">
        <v>78</v>
      </c>
      <c r="B45" s="317" t="s">
        <v>65</v>
      </c>
      <c r="C45" s="317" t="s">
        <v>79</v>
      </c>
      <c r="D45" s="317" t="s">
        <v>80</v>
      </c>
    </row>
    <row r="47" spans="1:4">
      <c r="A47" s="260" t="s">
        <v>81</v>
      </c>
      <c r="B47" s="260"/>
      <c r="C47" s="260"/>
      <c r="D47" s="260"/>
    </row>
    <row r="48" spans="1:4">
      <c r="A48" s="261" t="s">
        <v>82</v>
      </c>
      <c r="B48" s="265" t="s">
        <v>83</v>
      </c>
      <c r="C48" s="261" t="s">
        <v>4</v>
      </c>
      <c r="D48" s="261" t="s">
        <v>5</v>
      </c>
    </row>
    <row r="49" spans="1:4">
      <c r="A49" s="261" t="s">
        <v>28</v>
      </c>
      <c r="B49" t="s">
        <v>84</v>
      </c>
      <c r="D49" s="267">
        <f>IF(G3=0,0,(Servente!G3*2*Servente!G5)-(6%*_1A))</f>
        <v>0</v>
      </c>
    </row>
    <row r="50" spans="1:4">
      <c r="A50" s="261" t="s">
        <v>31</v>
      </c>
      <c r="B50" t="s">
        <v>85</v>
      </c>
      <c r="D50" s="267">
        <f>(Servente!G4*Servente!G5)*80%</f>
        <v>211.2</v>
      </c>
    </row>
    <row r="51" spans="1:4">
      <c r="A51" s="261" t="s">
        <v>34</v>
      </c>
      <c r="B51" t="s">
        <v>86</v>
      </c>
      <c r="D51" s="267"/>
    </row>
    <row r="52" spans="1:4">
      <c r="A52" s="261" t="s">
        <v>36</v>
      </c>
      <c r="B52" t="s">
        <v>42</v>
      </c>
      <c r="D52" s="267"/>
    </row>
    <row r="53" spans="1:4">
      <c r="A53" s="261" t="s">
        <v>44</v>
      </c>
      <c r="D53" s="267">
        <v>211.2</v>
      </c>
    </row>
    <row r="54" spans="1:4">
      <c r="A54" s="261"/>
      <c r="D54" s="267"/>
    </row>
    <row r="55" spans="1:4">
      <c r="A55" s="315" t="s">
        <v>87</v>
      </c>
      <c r="B55" s="315"/>
      <c r="C55" s="315"/>
      <c r="D55" s="315"/>
    </row>
    <row r="56" spans="1:4">
      <c r="A56" s="315" t="s">
        <v>2</v>
      </c>
      <c r="B56" s="315" t="s">
        <v>56</v>
      </c>
      <c r="C56" s="315" t="s">
        <v>57</v>
      </c>
      <c r="D56" s="315" t="s">
        <v>58</v>
      </c>
    </row>
    <row r="57" ht="45" spans="1:4">
      <c r="A57" s="279" t="s">
        <v>28</v>
      </c>
      <c r="B57" s="317" t="s">
        <v>84</v>
      </c>
      <c r="C57" s="318" t="s">
        <v>88</v>
      </c>
      <c r="D57" s="318" t="s">
        <v>89</v>
      </c>
    </row>
    <row r="58" ht="30" spans="1:4">
      <c r="A58" s="279" t="s">
        <v>31</v>
      </c>
      <c r="B58" s="319" t="s">
        <v>85</v>
      </c>
      <c r="C58" s="318" t="s">
        <v>88</v>
      </c>
      <c r="D58" s="318" t="s">
        <v>90</v>
      </c>
    </row>
    <row r="59" ht="19.5" customHeight="1" spans="1:4">
      <c r="A59" s="261"/>
      <c r="D59" s="267"/>
    </row>
    <row r="60" spans="1:4">
      <c r="A60" s="260" t="s">
        <v>91</v>
      </c>
      <c r="B60" s="260"/>
      <c r="C60" s="260"/>
      <c r="D60" s="260"/>
    </row>
    <row r="61" spans="1:4">
      <c r="A61" s="261" t="s">
        <v>92</v>
      </c>
      <c r="B61" s="265" t="s">
        <v>93</v>
      </c>
      <c r="C61" s="261" t="s">
        <v>4</v>
      </c>
      <c r="D61" s="261" t="s">
        <v>5</v>
      </c>
    </row>
    <row r="62" spans="1:4">
      <c r="A62" s="261" t="s">
        <v>51</v>
      </c>
      <c r="B62" t="s">
        <v>52</v>
      </c>
      <c r="C62" s="261"/>
      <c r="D62" s="267">
        <v>194.055555555556</v>
      </c>
    </row>
    <row r="63" spans="1:4">
      <c r="A63" s="261" t="s">
        <v>64</v>
      </c>
      <c r="B63" t="s">
        <v>65</v>
      </c>
      <c r="C63" s="261"/>
      <c r="D63" s="267">
        <f>Submódulo2.2[[#Totals],[Valor ]]</f>
        <v>438.676444444444</v>
      </c>
    </row>
    <row r="64" spans="1:4">
      <c r="A64" s="261" t="s">
        <v>82</v>
      </c>
      <c r="B64" t="s">
        <v>83</v>
      </c>
      <c r="C64" s="261"/>
      <c r="D64" s="267">
        <f>Submódulo2.3[[#Totals],[Valor]]</f>
        <v>211.2</v>
      </c>
    </row>
    <row r="65" spans="1:4">
      <c r="A65" s="261" t="s">
        <v>44</v>
      </c>
      <c r="C65" s="261"/>
      <c r="D65" s="267">
        <v>843.932</v>
      </c>
    </row>
    <row r="67" spans="1:4">
      <c r="A67" s="244" t="s">
        <v>94</v>
      </c>
      <c r="B67" s="244"/>
      <c r="C67" s="244"/>
      <c r="D67" s="244"/>
    </row>
    <row r="68" spans="1:4">
      <c r="A68" s="261" t="s">
        <v>95</v>
      </c>
      <c r="B68" s="265" t="s">
        <v>96</v>
      </c>
      <c r="C68" s="261" t="s">
        <v>4</v>
      </c>
      <c r="D68" s="261" t="s">
        <v>5</v>
      </c>
    </row>
    <row r="69" spans="1:4">
      <c r="A69" s="261" t="s">
        <v>28</v>
      </c>
      <c r="B69" t="s">
        <v>97</v>
      </c>
      <c r="D69" s="267">
        <v>50.715994537037</v>
      </c>
    </row>
    <row r="70" spans="1:4">
      <c r="A70" s="261" t="s">
        <v>31</v>
      </c>
      <c r="B70" t="s">
        <v>98</v>
      </c>
      <c r="D70" s="267">
        <f>(D40/12)*Servente!G10</f>
        <v>3.44662996296296</v>
      </c>
    </row>
    <row r="71" spans="1:4">
      <c r="A71" s="261" t="s">
        <v>34</v>
      </c>
      <c r="B71" t="s">
        <v>99</v>
      </c>
      <c r="D71" s="267">
        <f>D40*50%*Servente!G10</f>
        <v>20.6797797777778</v>
      </c>
    </row>
    <row r="72" spans="1:4">
      <c r="A72" s="261" t="s">
        <v>36</v>
      </c>
      <c r="B72" t="s">
        <v>100</v>
      </c>
      <c r="D72" s="267">
        <v>66.5704923666667</v>
      </c>
    </row>
    <row r="73" spans="1:4">
      <c r="A73" s="261" t="s">
        <v>39</v>
      </c>
      <c r="B73" t="s">
        <v>101</v>
      </c>
      <c r="D73" s="267">
        <f>D40*50%*Servente!G11</f>
        <v>20.6797797777778</v>
      </c>
    </row>
    <row r="74" spans="1:4">
      <c r="A74" s="261" t="s">
        <v>41</v>
      </c>
      <c r="B74" t="s">
        <v>102</v>
      </c>
      <c r="D74" s="267">
        <f>-D62*Servente!G12</f>
        <v>-4.23041111111111</v>
      </c>
    </row>
    <row r="75" spans="1:4">
      <c r="A75" s="261" t="s">
        <v>44</v>
      </c>
      <c r="D75" s="267">
        <v>157.862265311111</v>
      </c>
    </row>
    <row r="76" spans="1:4">
      <c r="A76" s="261"/>
      <c r="D76" s="267"/>
    </row>
    <row r="77" spans="1:4">
      <c r="A77" s="315" t="s">
        <v>103</v>
      </c>
      <c r="B77" s="315"/>
      <c r="C77" s="315"/>
      <c r="D77" s="315"/>
    </row>
    <row r="78" spans="1:4">
      <c r="A78" s="315" t="s">
        <v>2</v>
      </c>
      <c r="B78" s="315" t="s">
        <v>56</v>
      </c>
      <c r="C78" s="315" t="s">
        <v>57</v>
      </c>
      <c r="D78" s="315" t="s">
        <v>58</v>
      </c>
    </row>
    <row r="79" ht="60" spans="1:4">
      <c r="A79" s="279" t="s">
        <v>28</v>
      </c>
      <c r="B79" s="317" t="s">
        <v>97</v>
      </c>
      <c r="C79" s="318" t="s">
        <v>104</v>
      </c>
      <c r="D79" s="318" t="s">
        <v>105</v>
      </c>
    </row>
    <row r="80" ht="60" spans="1:4">
      <c r="A80" s="279" t="s">
        <v>31</v>
      </c>
      <c r="B80" s="319" t="s">
        <v>98</v>
      </c>
      <c r="C80" s="318" t="s">
        <v>106</v>
      </c>
      <c r="D80" s="318" t="s">
        <v>105</v>
      </c>
    </row>
    <row r="81" ht="75" spans="1:4">
      <c r="A81" s="279" t="s">
        <v>34</v>
      </c>
      <c r="B81" s="319" t="s">
        <v>99</v>
      </c>
      <c r="C81" s="318" t="s">
        <v>106</v>
      </c>
      <c r="D81" s="320" t="s">
        <v>107</v>
      </c>
    </row>
    <row r="82" ht="60" spans="1:4">
      <c r="A82" s="279" t="s">
        <v>36</v>
      </c>
      <c r="B82" s="280" t="s">
        <v>100</v>
      </c>
      <c r="C82" s="318" t="s">
        <v>108</v>
      </c>
      <c r="D82" s="320" t="s">
        <v>109</v>
      </c>
    </row>
    <row r="83" ht="75" spans="1:4">
      <c r="A83" s="279" t="s">
        <v>39</v>
      </c>
      <c r="B83" s="280" t="s">
        <v>101</v>
      </c>
      <c r="C83" s="318" t="s">
        <v>106</v>
      </c>
      <c r="D83" s="320" t="s">
        <v>110</v>
      </c>
    </row>
    <row r="84" ht="60" spans="1:4">
      <c r="A84" s="279" t="s">
        <v>41</v>
      </c>
      <c r="B84" s="280" t="s">
        <v>102</v>
      </c>
      <c r="C84" s="318" t="s">
        <v>111</v>
      </c>
      <c r="D84" s="320" t="s">
        <v>112</v>
      </c>
    </row>
    <row r="86" customHeight="1" spans="1:4">
      <c r="A86" s="287" t="s">
        <v>113</v>
      </c>
      <c r="B86" s="287"/>
      <c r="C86" s="287"/>
      <c r="D86" s="287"/>
    </row>
    <row r="87" spans="1:4">
      <c r="A87" s="260" t="s">
        <v>114</v>
      </c>
      <c r="B87" s="260"/>
      <c r="C87" s="260"/>
      <c r="D87" s="260"/>
    </row>
    <row r="88" spans="1:4">
      <c r="A88" s="261" t="s">
        <v>115</v>
      </c>
      <c r="B88" s="265" t="s">
        <v>116</v>
      </c>
      <c r="C88" s="261" t="s">
        <v>117</v>
      </c>
      <c r="D88" s="261" t="s">
        <v>5</v>
      </c>
    </row>
    <row r="89" spans="1:4">
      <c r="A89" s="261" t="s">
        <v>28</v>
      </c>
      <c r="B89" t="s">
        <v>118</v>
      </c>
      <c r="C89" s="261">
        <v>20.71</v>
      </c>
      <c r="D89" s="267">
        <v>115.043720096092</v>
      </c>
    </row>
    <row r="90" spans="1:4">
      <c r="A90" s="261" t="s">
        <v>31</v>
      </c>
      <c r="B90" t="s">
        <v>119</v>
      </c>
      <c r="C90" s="261">
        <v>1.4181</v>
      </c>
      <c r="D90" s="267">
        <v>7.87752291010468</v>
      </c>
    </row>
    <row r="91" spans="1:4">
      <c r="A91" s="261" t="s">
        <v>34</v>
      </c>
      <c r="B91" t="s">
        <v>120</v>
      </c>
      <c r="C91" s="261">
        <v>0.1898</v>
      </c>
      <c r="D91" s="267">
        <v>1.05433597654458</v>
      </c>
    </row>
    <row r="92" spans="1:4">
      <c r="A92" s="261" t="s">
        <v>36</v>
      </c>
      <c r="B92" t="s">
        <v>121</v>
      </c>
      <c r="C92" s="261">
        <v>0.9545</v>
      </c>
      <c r="D92" s="267">
        <v>5.3022322951096</v>
      </c>
    </row>
    <row r="93" spans="1:4">
      <c r="A93" s="261" t="s">
        <v>39</v>
      </c>
      <c r="B93" t="s">
        <v>122</v>
      </c>
      <c r="C93" s="261">
        <v>2.4723</v>
      </c>
      <c r="D93" s="267">
        <v>13.7335871170241</v>
      </c>
    </row>
    <row r="94" spans="1:4">
      <c r="A94" s="261" t="s">
        <v>41</v>
      </c>
      <c r="B94" t="s">
        <v>123</v>
      </c>
      <c r="C94" s="261">
        <v>3.4521</v>
      </c>
      <c r="D94" s="267">
        <v>19.1763605091125</v>
      </c>
    </row>
    <row r="95" spans="1:4">
      <c r="A95" s="261" t="s">
        <v>44</v>
      </c>
      <c r="C95" s="261">
        <f>SUBTOTAL(109,Submódulo4.1[Dias de ausência])</f>
        <v>29.1968</v>
      </c>
      <c r="D95" s="267">
        <f>SUBTOTAL(109,Submódulo4.1[Valor])</f>
        <v>162.187758903987</v>
      </c>
    </row>
    <row r="96" spans="1:4">
      <c r="A96" s="261"/>
      <c r="C96" s="261"/>
      <c r="D96" s="267"/>
    </row>
    <row r="97" spans="1:4">
      <c r="A97" s="315" t="s">
        <v>124</v>
      </c>
      <c r="B97" s="315"/>
      <c r="C97" s="315"/>
      <c r="D97" s="315"/>
    </row>
    <row r="98" spans="1:4">
      <c r="A98" s="315" t="s">
        <v>2</v>
      </c>
      <c r="B98" s="315" t="s">
        <v>56</v>
      </c>
      <c r="C98" s="315" t="s">
        <v>57</v>
      </c>
      <c r="D98" s="315" t="s">
        <v>58</v>
      </c>
    </row>
    <row r="99" spans="1:4">
      <c r="A99" s="279" t="s">
        <v>125</v>
      </c>
      <c r="B99" s="317" t="s">
        <v>126</v>
      </c>
      <c r="C99" s="318"/>
      <c r="D99" s="318"/>
    </row>
    <row r="100" ht="45" spans="1:4">
      <c r="A100" s="279" t="s">
        <v>125</v>
      </c>
      <c r="B100" s="319" t="s">
        <v>127</v>
      </c>
      <c r="C100" s="318" t="s">
        <v>128</v>
      </c>
      <c r="D100" s="318" t="s">
        <v>129</v>
      </c>
    </row>
    <row r="101" spans="1:4">
      <c r="A101" s="261"/>
      <c r="C101" s="261"/>
      <c r="D101" s="267"/>
    </row>
    <row r="102" spans="1:4">
      <c r="A102" s="260" t="s">
        <v>130</v>
      </c>
      <c r="B102" s="260"/>
      <c r="C102" s="260"/>
      <c r="D102" s="260"/>
    </row>
    <row r="103" spans="1:4">
      <c r="A103" s="261" t="s">
        <v>131</v>
      </c>
      <c r="B103" s="265" t="s">
        <v>132</v>
      </c>
      <c r="C103" s="261" t="s">
        <v>4</v>
      </c>
      <c r="D103" s="261" t="s">
        <v>5</v>
      </c>
    </row>
    <row r="104" spans="1:4">
      <c r="A104" s="261" t="s">
        <v>28</v>
      </c>
      <c r="B104" t="s">
        <v>133</v>
      </c>
      <c r="C104" s="261"/>
      <c r="D104" s="267"/>
    </row>
    <row r="105" spans="1:4">
      <c r="A105" s="261" t="s">
        <v>44</v>
      </c>
      <c r="C105" s="261"/>
      <c r="D105" s="267">
        <f>SUBTOTAL(109,Submódulo4.2[Valor])</f>
        <v>0</v>
      </c>
    </row>
    <row r="107" spans="1:4">
      <c r="A107" s="260" t="s">
        <v>134</v>
      </c>
      <c r="B107" s="260"/>
      <c r="C107" s="260"/>
      <c r="D107" s="260"/>
    </row>
    <row r="108" spans="1:4">
      <c r="A108" s="261" t="s">
        <v>135</v>
      </c>
      <c r="B108" s="265" t="s">
        <v>136</v>
      </c>
      <c r="C108" s="261" t="s">
        <v>4</v>
      </c>
      <c r="D108" s="261" t="s">
        <v>5</v>
      </c>
    </row>
    <row r="109" spans="1:4">
      <c r="A109" s="261" t="s">
        <v>115</v>
      </c>
      <c r="B109" t="s">
        <v>116</v>
      </c>
      <c r="D109" s="267">
        <f>Submódulo4.1[[#Totals],[Valor]]</f>
        <v>162.187758903987</v>
      </c>
    </row>
    <row r="110" spans="1:4">
      <c r="A110" s="261" t="s">
        <v>131</v>
      </c>
      <c r="B110" t="s">
        <v>137</v>
      </c>
      <c r="D110" s="267">
        <f>Submódulo4.2[[#Totals],[Valor]]</f>
        <v>0</v>
      </c>
    </row>
    <row r="111" spans="1:4">
      <c r="A111" s="261" t="s">
        <v>44</v>
      </c>
      <c r="D111" s="267">
        <v>162.187758903987</v>
      </c>
    </row>
    <row r="113" spans="1:4">
      <c r="A113" s="244" t="s">
        <v>138</v>
      </c>
      <c r="B113" s="244"/>
      <c r="C113" s="244"/>
      <c r="D113" s="244"/>
    </row>
    <row r="114" spans="1:4">
      <c r="A114" s="261" t="s">
        <v>139</v>
      </c>
      <c r="B114" s="265" t="s">
        <v>140</v>
      </c>
      <c r="C114" s="261" t="s">
        <v>4</v>
      </c>
      <c r="D114" s="261" t="s">
        <v>5</v>
      </c>
    </row>
    <row r="115" spans="1:4">
      <c r="A115" s="261" t="s">
        <v>28</v>
      </c>
      <c r="B115" t="s">
        <v>141</v>
      </c>
      <c r="D115" s="267" t="e">
        <f>#REF!</f>
        <v>#REF!</v>
      </c>
    </row>
    <row r="116" spans="1:4">
      <c r="A116" s="261" t="s">
        <v>31</v>
      </c>
      <c r="B116" t="s">
        <v>142</v>
      </c>
      <c r="D116" s="267" t="e">
        <f>#REF!/#REF!</f>
        <v>#REF!</v>
      </c>
    </row>
    <row r="117" spans="1:4">
      <c r="A117" s="261" t="s">
        <v>34</v>
      </c>
      <c r="B117" t="s">
        <v>143</v>
      </c>
      <c r="D117" s="267" t="e">
        <f>#REF!/#REF!</f>
        <v>#REF!</v>
      </c>
    </row>
    <row r="118" spans="1:4">
      <c r="A118" s="261" t="s">
        <v>36</v>
      </c>
      <c r="B118" t="s">
        <v>144</v>
      </c>
      <c r="D118" s="267"/>
    </row>
    <row r="119" spans="1:4">
      <c r="A119" s="261" t="s">
        <v>44</v>
      </c>
      <c r="D119" s="267" t="e">
        <v>#REF!</v>
      </c>
    </row>
    <row r="120" spans="1:4">
      <c r="A120" s="261"/>
      <c r="D120" s="267"/>
    </row>
    <row r="121" spans="1:4">
      <c r="A121" s="315" t="s">
        <v>145</v>
      </c>
      <c r="B121" s="315"/>
      <c r="C121" s="315"/>
      <c r="D121" s="315"/>
    </row>
    <row r="122" spans="1:4">
      <c r="A122" s="315" t="s">
        <v>2</v>
      </c>
      <c r="B122" s="315" t="s">
        <v>56</v>
      </c>
      <c r="C122" s="315" t="s">
        <v>57</v>
      </c>
      <c r="D122" s="315" t="s">
        <v>58</v>
      </c>
    </row>
    <row r="123" spans="1:4">
      <c r="A123" s="279" t="s">
        <v>28</v>
      </c>
      <c r="B123" s="317" t="s">
        <v>141</v>
      </c>
      <c r="C123" s="318" t="s">
        <v>146</v>
      </c>
      <c r="D123" s="318"/>
    </row>
    <row r="124" ht="30" spans="1:4">
      <c r="A124" s="279" t="s">
        <v>31</v>
      </c>
      <c r="B124" s="319" t="s">
        <v>142</v>
      </c>
      <c r="C124" s="318" t="s">
        <v>147</v>
      </c>
      <c r="D124" s="318" t="s">
        <v>148</v>
      </c>
    </row>
    <row r="125" ht="30" spans="1:4">
      <c r="A125" s="279" t="s">
        <v>34</v>
      </c>
      <c r="B125" s="319" t="s">
        <v>143</v>
      </c>
      <c r="C125" s="318" t="s">
        <v>149</v>
      </c>
      <c r="D125" s="318" t="s">
        <v>148</v>
      </c>
    </row>
    <row r="126" spans="1:4">
      <c r="A126" s="279" t="s">
        <v>36</v>
      </c>
      <c r="B126" s="319" t="s">
        <v>144</v>
      </c>
      <c r="C126" s="318"/>
      <c r="D126" s="318"/>
    </row>
    <row r="128" spans="1:4">
      <c r="A128" s="244" t="s">
        <v>150</v>
      </c>
      <c r="B128" s="244"/>
      <c r="C128" s="244"/>
      <c r="D128" s="244"/>
    </row>
    <row r="129" outlineLevel="1" spans="1:4">
      <c r="A129" s="261" t="s">
        <v>151</v>
      </c>
      <c r="B129" t="s">
        <v>152</v>
      </c>
      <c r="C129" s="261" t="s">
        <v>24</v>
      </c>
      <c r="D129" s="261" t="s">
        <v>5</v>
      </c>
    </row>
    <row r="130" outlineLevel="1" spans="1:4">
      <c r="A130" s="261" t="s">
        <v>28</v>
      </c>
      <c r="B130" t="s">
        <v>153</v>
      </c>
      <c r="C130" s="269">
        <f>G16</f>
        <v>0.0471</v>
      </c>
      <c r="D130" s="267" t="e">
        <v>#REF!</v>
      </c>
    </row>
    <row r="131" outlineLevel="1" spans="1:4">
      <c r="A131" s="261" t="s">
        <v>31</v>
      </c>
      <c r="B131" t="s">
        <v>45</v>
      </c>
      <c r="C131" s="269">
        <f>G17</f>
        <v>0.0467</v>
      </c>
      <c r="D131" s="267" t="e">
        <v>#REF!</v>
      </c>
    </row>
    <row r="132" spans="1:4">
      <c r="A132" s="261" t="s">
        <v>34</v>
      </c>
      <c r="B132" t="s">
        <v>154</v>
      </c>
      <c r="C132" s="269">
        <f>SUM(C133:C135)</f>
        <v>0.1425</v>
      </c>
      <c r="D132" s="267" t="e">
        <v>#REF!</v>
      </c>
    </row>
    <row r="133" spans="1:4">
      <c r="A133" s="261" t="s">
        <v>155</v>
      </c>
      <c r="B133" t="s">
        <v>46</v>
      </c>
      <c r="C133" s="269">
        <f>G18</f>
        <v>0.0165</v>
      </c>
      <c r="D133" s="267" t="e">
        <v>#REF!</v>
      </c>
    </row>
    <row r="134" spans="1:4">
      <c r="A134" s="261" t="s">
        <v>156</v>
      </c>
      <c r="B134" t="s">
        <v>48</v>
      </c>
      <c r="C134" s="269">
        <f>G19</f>
        <v>0.076</v>
      </c>
      <c r="D134" s="267" t="e">
        <v>#REF!</v>
      </c>
    </row>
    <row r="135" spans="1:4">
      <c r="A135" s="261" t="s">
        <v>157</v>
      </c>
      <c r="B135" t="s">
        <v>50</v>
      </c>
      <c r="C135" s="269">
        <f>G20</f>
        <v>0.05</v>
      </c>
      <c r="D135" s="267" t="e">
        <v>#REF!</v>
      </c>
    </row>
    <row r="136" spans="1:4">
      <c r="A136" s="261" t="s">
        <v>44</v>
      </c>
      <c r="C136" s="296"/>
      <c r="D136" s="267" t="e">
        <f>SUM(D130:D132)</f>
        <v>#REF!</v>
      </c>
    </row>
    <row r="137" spans="1:4">
      <c r="A137" s="261"/>
      <c r="C137" s="296"/>
      <c r="D137" s="267"/>
    </row>
    <row r="139" spans="1:4">
      <c r="A139" s="244" t="s">
        <v>158</v>
      </c>
      <c r="B139" s="244"/>
      <c r="C139" s="244"/>
      <c r="D139" s="244"/>
    </row>
    <row r="140" spans="1:4">
      <c r="A140" s="261" t="s">
        <v>2</v>
      </c>
      <c r="B140" s="261" t="s">
        <v>159</v>
      </c>
      <c r="C140" s="261" t="s">
        <v>88</v>
      </c>
      <c r="D140" s="261" t="s">
        <v>5</v>
      </c>
    </row>
    <row r="141" spans="1:4">
      <c r="A141" s="261" t="s">
        <v>28</v>
      </c>
      <c r="B141" t="s">
        <v>22</v>
      </c>
      <c r="D141" s="267">
        <v>998</v>
      </c>
    </row>
    <row r="142" spans="1:4">
      <c r="A142" s="261" t="s">
        <v>31</v>
      </c>
      <c r="B142" t="s">
        <v>47</v>
      </c>
      <c r="D142" s="267">
        <v>843.932</v>
      </c>
    </row>
    <row r="143" spans="1:4">
      <c r="A143" s="261" t="s">
        <v>34</v>
      </c>
      <c r="B143" t="s">
        <v>94</v>
      </c>
      <c r="D143" s="267">
        <v>157.862265311111</v>
      </c>
    </row>
    <row r="144" spans="1:4">
      <c r="A144" s="261" t="s">
        <v>36</v>
      </c>
      <c r="B144" t="s">
        <v>160</v>
      </c>
      <c r="D144" s="267">
        <v>162.187758903987</v>
      </c>
    </row>
    <row r="145" spans="1:4">
      <c r="A145" s="261" t="s">
        <v>39</v>
      </c>
      <c r="B145" t="s">
        <v>138</v>
      </c>
      <c r="D145" s="267" t="e">
        <v>#REF!</v>
      </c>
    </row>
    <row r="146" spans="1:4">
      <c r="A146" t="s">
        <v>161</v>
      </c>
      <c r="D146" s="267" t="e">
        <f>SUM(D141:D145)</f>
        <v>#REF!</v>
      </c>
    </row>
    <row r="147" spans="1:4">
      <c r="A147" s="261" t="s">
        <v>41</v>
      </c>
      <c r="B147" t="s">
        <v>150</v>
      </c>
      <c r="D147" s="267" t="e">
        <v>#REF!</v>
      </c>
    </row>
    <row r="148" spans="1:4">
      <c r="A148" s="298" t="s">
        <v>162</v>
      </c>
      <c r="B148" s="298"/>
      <c r="C148" s="298"/>
      <c r="D148" s="321" t="e">
        <f>(SUM(D141:D145)+D130+D131)/(100%-C132)</f>
        <v>#REF!</v>
      </c>
    </row>
  </sheetData>
  <mergeCells count="24">
    <mergeCell ref="A1:D1"/>
    <mergeCell ref="F1:G1"/>
    <mergeCell ref="F8:G8"/>
    <mergeCell ref="A9:D9"/>
    <mergeCell ref="F14:G14"/>
    <mergeCell ref="A19:D19"/>
    <mergeCell ref="A20:D20"/>
    <mergeCell ref="A26:D26"/>
    <mergeCell ref="A31:D31"/>
    <mergeCell ref="A43:D43"/>
    <mergeCell ref="A47:D47"/>
    <mergeCell ref="A55:D55"/>
    <mergeCell ref="A60:D60"/>
    <mergeCell ref="A67:D67"/>
    <mergeCell ref="A77:D77"/>
    <mergeCell ref="A86:D86"/>
    <mergeCell ref="A87:D87"/>
    <mergeCell ref="A97:D97"/>
    <mergeCell ref="A102:D102"/>
    <mergeCell ref="A107:D107"/>
    <mergeCell ref="A113:D113"/>
    <mergeCell ref="A121:D121"/>
    <mergeCell ref="A128:D128"/>
    <mergeCell ref="A139:D139"/>
  </mergeCells>
  <pageMargins left="0.7" right="0.7" top="0.75" bottom="0.75" header="0.511805555555555" footer="0.511805555555555"/>
  <pageSetup paperSize="9" scale="44" firstPageNumber="0" fitToHeight="0" orientation="portrait" useFirstPageNumber="1" horizontalDpi="300" verticalDpi="300"/>
  <headerFooter/>
  <tableParts count="11">
    <tablePart r:id="rId1"/>
    <tablePart r:id="rId2"/>
    <tablePart r:id="rId3"/>
    <tablePart r:id="rId4"/>
    <tablePart r:id="rId5"/>
    <tablePart r:id="rId6"/>
    <tablePart r:id="rId7"/>
    <tablePart r:id="rId8"/>
    <tablePart r:id="rId9"/>
    <tablePart r:id="rId10"/>
    <tablePart r:id="rId11"/>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7"/>
  <sheetViews>
    <sheetView topLeftCell="A131" workbookViewId="0">
      <selection activeCell="D158" sqref="D158"/>
    </sheetView>
  </sheetViews>
  <sheetFormatPr defaultColWidth="9.14285714285714" defaultRowHeight="15" outlineLevelCol="6"/>
  <cols>
    <col min="1" max="1" width="11.1428571428571" customWidth="1"/>
    <col min="2" max="2" width="52.7142857142857" customWidth="1"/>
    <col min="3" max="3" width="28.5714285714286" customWidth="1"/>
    <col min="4" max="4" width="34.7142857142857" customWidth="1"/>
    <col min="6" max="6" width="22.8571428571429" customWidth="1"/>
    <col min="7" max="7" width="15.552380952381" customWidth="1"/>
    <col min="9" max="9" width="11.4285714285714"/>
  </cols>
  <sheetData>
    <row r="2" ht="19.5" spans="1:4">
      <c r="A2" s="237" t="s">
        <v>163</v>
      </c>
      <c r="B2" s="237"/>
      <c r="C2" s="237"/>
      <c r="D2" s="237"/>
    </row>
    <row r="3" ht="15.75" spans="1:4">
      <c r="A3" s="238" t="s">
        <v>164</v>
      </c>
      <c r="B3" s="238"/>
      <c r="C3" s="238"/>
      <c r="D3" s="238"/>
    </row>
    <row r="4" spans="1:4">
      <c r="A4" s="239" t="s">
        <v>165</v>
      </c>
      <c r="B4" s="240" t="s">
        <v>166</v>
      </c>
      <c r="C4" s="241"/>
      <c r="D4" s="241"/>
    </row>
    <row r="5" spans="1:4">
      <c r="A5" s="242"/>
      <c r="B5" s="243"/>
      <c r="C5" s="243"/>
      <c r="D5" s="243"/>
    </row>
    <row r="6" ht="15.75" spans="1:4">
      <c r="A6" s="244" t="s">
        <v>167</v>
      </c>
      <c r="B6" s="244"/>
      <c r="C6" s="244"/>
      <c r="D6" s="244"/>
    </row>
    <row r="7" ht="15.75" spans="1:4">
      <c r="A7" s="245" t="s">
        <v>28</v>
      </c>
      <c r="B7" s="246" t="s">
        <v>168</v>
      </c>
      <c r="C7" s="247" t="s">
        <v>169</v>
      </c>
      <c r="D7" s="247"/>
    </row>
    <row r="8" spans="1:4">
      <c r="A8" s="248" t="s">
        <v>31</v>
      </c>
      <c r="B8" s="249" t="s">
        <v>170</v>
      </c>
      <c r="C8" s="250" t="s">
        <v>171</v>
      </c>
      <c r="D8" s="250"/>
    </row>
    <row r="9" spans="1:4">
      <c r="A9" s="251" t="s">
        <v>34</v>
      </c>
      <c r="B9" s="252" t="s">
        <v>172</v>
      </c>
      <c r="C9" s="250" t="s">
        <v>173</v>
      </c>
      <c r="D9" s="250"/>
    </row>
    <row r="10" spans="1:4">
      <c r="A10" s="248" t="s">
        <v>39</v>
      </c>
      <c r="B10" s="249" t="s">
        <v>174</v>
      </c>
      <c r="C10" s="250" t="s">
        <v>175</v>
      </c>
      <c r="D10" s="250"/>
    </row>
    <row r="11" ht="15.75" spans="1:4">
      <c r="A11" s="253" t="s">
        <v>176</v>
      </c>
      <c r="B11" s="253"/>
      <c r="C11" s="253"/>
      <c r="D11" s="253"/>
    </row>
    <row r="12" ht="16.5" spans="1:4">
      <c r="A12" s="254" t="s">
        <v>177</v>
      </c>
      <c r="B12" s="254"/>
      <c r="C12" s="253" t="s">
        <v>178</v>
      </c>
      <c r="D12" s="255" t="s">
        <v>179</v>
      </c>
    </row>
    <row r="13" ht="15.75" spans="1:4">
      <c r="A13" s="256" t="s">
        <v>180</v>
      </c>
      <c r="B13" s="256"/>
      <c r="C13" s="250" t="s">
        <v>181</v>
      </c>
      <c r="D13" s="257">
        <f>RESUMO!D3</f>
        <v>6</v>
      </c>
    </row>
    <row r="14" spans="1:4">
      <c r="A14" s="258"/>
      <c r="B14" s="258"/>
      <c r="C14" s="250"/>
      <c r="D14" s="259"/>
    </row>
    <row r="15" ht="15.75" spans="1:7">
      <c r="A15" s="253" t="s">
        <v>0</v>
      </c>
      <c r="B15" s="253"/>
      <c r="C15" s="253"/>
      <c r="D15" s="253"/>
      <c r="F15" s="260"/>
      <c r="G15" s="260"/>
    </row>
    <row r="16" ht="15.75" spans="1:4">
      <c r="A16" s="261" t="s">
        <v>2</v>
      </c>
      <c r="B16" t="s">
        <v>3</v>
      </c>
      <c r="C16" s="261" t="s">
        <v>4</v>
      </c>
      <c r="D16" s="261" t="s">
        <v>5</v>
      </c>
    </row>
    <row r="17" spans="1:4">
      <c r="A17" s="261">
        <v>1</v>
      </c>
      <c r="B17" t="s">
        <v>6</v>
      </c>
      <c r="C17" s="262" t="s">
        <v>88</v>
      </c>
      <c r="D17" s="262" t="str">
        <f>A13</f>
        <v>Auxiliar Administrativo</v>
      </c>
    </row>
    <row r="18" spans="1:4">
      <c r="A18" s="261">
        <v>2</v>
      </c>
      <c r="B18" t="s">
        <v>9</v>
      </c>
      <c r="C18" s="262" t="s">
        <v>182</v>
      </c>
      <c r="D18" s="262" t="s">
        <v>183</v>
      </c>
    </row>
    <row r="19" spans="1:4">
      <c r="A19" s="261">
        <v>3</v>
      </c>
      <c r="B19" t="s">
        <v>12</v>
      </c>
      <c r="C19" s="262" t="str">
        <f>C9</f>
        <v>CCT PB000047/2021</v>
      </c>
      <c r="D19" s="220">
        <v>1148</v>
      </c>
    </row>
    <row r="20" spans="1:4">
      <c r="A20" s="261">
        <v>4</v>
      </c>
      <c r="B20" t="s">
        <v>15</v>
      </c>
      <c r="C20" s="262" t="str">
        <f>C9</f>
        <v>CCT PB000047/2021</v>
      </c>
      <c r="D20" s="263" t="s">
        <v>184</v>
      </c>
    </row>
    <row r="21" spans="1:4">
      <c r="A21" s="261">
        <v>5</v>
      </c>
      <c r="B21" t="s">
        <v>19</v>
      </c>
      <c r="C21" s="262" t="str">
        <f>C9</f>
        <v>CCT PB000047/2021</v>
      </c>
      <c r="D21" s="264" t="s">
        <v>185</v>
      </c>
    </row>
    <row r="22" spans="6:7">
      <c r="F22" s="260"/>
      <c r="G22" s="260"/>
    </row>
    <row r="23" spans="1:4">
      <c r="A23" s="244" t="s">
        <v>22</v>
      </c>
      <c r="B23" s="244"/>
      <c r="C23" s="244"/>
      <c r="D23" s="244"/>
    </row>
    <row r="24" spans="1:7">
      <c r="A24" s="261" t="s">
        <v>25</v>
      </c>
      <c r="B24" s="265" t="s">
        <v>26</v>
      </c>
      <c r="C24" s="261" t="s">
        <v>4</v>
      </c>
      <c r="D24" s="261" t="s">
        <v>5</v>
      </c>
      <c r="G24" s="266"/>
    </row>
    <row r="25" spans="1:7">
      <c r="A25" s="261" t="s">
        <v>28</v>
      </c>
      <c r="B25" t="s">
        <v>29</v>
      </c>
      <c r="C25" s="263" t="s">
        <v>186</v>
      </c>
      <c r="D25" s="220">
        <f>D19</f>
        <v>1148</v>
      </c>
      <c r="G25" s="266"/>
    </row>
    <row r="26" spans="1:7">
      <c r="A26" s="261" t="s">
        <v>31</v>
      </c>
      <c r="B26" t="s">
        <v>32</v>
      </c>
      <c r="C26" s="263"/>
      <c r="D26" s="220">
        <v>0</v>
      </c>
      <c r="G26" s="266"/>
    </row>
    <row r="27" spans="1:4">
      <c r="A27" s="261" t="s">
        <v>34</v>
      </c>
      <c r="B27" t="s">
        <v>35</v>
      </c>
      <c r="C27" s="263"/>
      <c r="D27" s="220">
        <v>0</v>
      </c>
    </row>
    <row r="28" spans="1:4">
      <c r="A28" s="261" t="s">
        <v>36</v>
      </c>
      <c r="B28" t="s">
        <v>37</v>
      </c>
      <c r="C28" s="263"/>
      <c r="D28" s="220">
        <v>0</v>
      </c>
    </row>
    <row r="29" spans="1:4">
      <c r="A29" s="261" t="s">
        <v>39</v>
      </c>
      <c r="B29" t="s">
        <v>40</v>
      </c>
      <c r="C29" s="263"/>
      <c r="D29" s="220">
        <v>0</v>
      </c>
    </row>
    <row r="30" spans="1:4">
      <c r="A30" s="261" t="s">
        <v>41</v>
      </c>
      <c r="B30" t="s">
        <v>42</v>
      </c>
      <c r="C30" s="263"/>
      <c r="D30" s="220">
        <v>0</v>
      </c>
    </row>
    <row r="31" spans="1:7">
      <c r="A31" s="261" t="s">
        <v>44</v>
      </c>
      <c r="C31" s="261"/>
      <c r="D31" s="267">
        <f>TRUNC((SUM(D25:D30)),2)</f>
        <v>1148</v>
      </c>
      <c r="F31" s="260"/>
      <c r="G31" s="260"/>
    </row>
    <row r="33" spans="1:7">
      <c r="A33" s="268" t="s">
        <v>47</v>
      </c>
      <c r="B33" s="268"/>
      <c r="C33" s="268"/>
      <c r="D33" s="268"/>
      <c r="G33" s="266"/>
    </row>
    <row r="35" spans="1:4">
      <c r="A35" s="260" t="s">
        <v>49</v>
      </c>
      <c r="B35" s="260"/>
      <c r="C35" s="260"/>
      <c r="D35" s="260"/>
    </row>
    <row r="36" spans="1:4">
      <c r="A36" s="261" t="s">
        <v>51</v>
      </c>
      <c r="B36" s="265" t="s">
        <v>52</v>
      </c>
      <c r="C36" s="261" t="s">
        <v>24</v>
      </c>
      <c r="D36" s="261" t="s">
        <v>5</v>
      </c>
    </row>
    <row r="37" spans="1:7">
      <c r="A37" s="261" t="s">
        <v>28</v>
      </c>
      <c r="B37" t="s">
        <v>53</v>
      </c>
      <c r="C37" s="269">
        <f>(1/12)</f>
        <v>0.0833333333333333</v>
      </c>
      <c r="D37" s="267">
        <f>TRUNC($D$31*C37,2)</f>
        <v>95.66</v>
      </c>
      <c r="F37" s="270"/>
      <c r="G37" s="270"/>
    </row>
    <row r="38" spans="1:7">
      <c r="A38" s="261" t="s">
        <v>31</v>
      </c>
      <c r="B38" t="s">
        <v>54</v>
      </c>
      <c r="C38" s="269">
        <f>(((1+1/3)/12))</f>
        <v>0.111111111111111</v>
      </c>
      <c r="D38" s="267">
        <f>TRUNC($D$31*C38,2)</f>
        <v>127.55</v>
      </c>
      <c r="F38" s="270"/>
      <c r="G38" s="270"/>
    </row>
    <row r="39" spans="1:7">
      <c r="A39" s="261" t="s">
        <v>44</v>
      </c>
      <c r="D39" s="267">
        <f>TRUNC((SUM(D37:D38)),2)</f>
        <v>223.21</v>
      </c>
      <c r="F39" s="270"/>
      <c r="G39" s="270"/>
    </row>
    <row r="40" ht="15.75" spans="4:7">
      <c r="D40" s="267"/>
      <c r="F40" s="270"/>
      <c r="G40" s="270"/>
    </row>
    <row r="41" ht="16.5" spans="1:7">
      <c r="A41" s="271" t="s">
        <v>187</v>
      </c>
      <c r="B41" s="271"/>
      <c r="C41" s="272" t="s">
        <v>188</v>
      </c>
      <c r="D41" s="273">
        <f>D31</f>
        <v>1148</v>
      </c>
      <c r="F41" s="270"/>
      <c r="G41" s="270"/>
    </row>
    <row r="42" ht="16.5" spans="1:7">
      <c r="A42" s="271"/>
      <c r="B42" s="271"/>
      <c r="C42" s="274" t="s">
        <v>189</v>
      </c>
      <c r="D42" s="273">
        <f>D39</f>
        <v>223.21</v>
      </c>
      <c r="F42" s="270"/>
      <c r="G42" s="270"/>
    </row>
    <row r="43" ht="16.5" spans="1:7">
      <c r="A43" s="271"/>
      <c r="B43" s="271"/>
      <c r="C43" s="272" t="s">
        <v>190</v>
      </c>
      <c r="D43" s="275">
        <f>TRUNC((SUM(D41:D42)),2)</f>
        <v>1371.21</v>
      </c>
      <c r="F43" s="270"/>
      <c r="G43" s="270"/>
    </row>
    <row r="44" ht="15.75" spans="1:7">
      <c r="A44" s="261"/>
      <c r="C44" s="276"/>
      <c r="D44" s="267"/>
      <c r="F44" s="270"/>
      <c r="G44" s="270"/>
    </row>
    <row r="45" spans="1:4">
      <c r="A45" s="260" t="s">
        <v>63</v>
      </c>
      <c r="B45" s="260"/>
      <c r="C45" s="260"/>
      <c r="D45" s="260"/>
    </row>
    <row r="46" spans="1:4">
      <c r="A46" s="261" t="s">
        <v>64</v>
      </c>
      <c r="B46" s="265" t="s">
        <v>65</v>
      </c>
      <c r="C46" s="261" t="s">
        <v>24</v>
      </c>
      <c r="D46" s="261" t="s">
        <v>66</v>
      </c>
    </row>
    <row r="47" spans="1:4">
      <c r="A47" s="261" t="s">
        <v>28</v>
      </c>
      <c r="B47" t="s">
        <v>67</v>
      </c>
      <c r="C47" s="269">
        <v>0.2</v>
      </c>
      <c r="D47" s="267">
        <f t="shared" ref="D47:D54" si="0">TRUNC(($D$43*C47),2)</f>
        <v>274.24</v>
      </c>
    </row>
    <row r="48" spans="1:4">
      <c r="A48" s="261" t="s">
        <v>31</v>
      </c>
      <c r="B48" t="s">
        <v>68</v>
      </c>
      <c r="C48" s="269">
        <v>0.025</v>
      </c>
      <c r="D48" s="267">
        <f t="shared" si="0"/>
        <v>34.28</v>
      </c>
    </row>
    <row r="49" spans="1:4">
      <c r="A49" s="261" t="s">
        <v>34</v>
      </c>
      <c r="B49" t="s">
        <v>191</v>
      </c>
      <c r="C49" s="277">
        <v>0.06</v>
      </c>
      <c r="D49" s="220">
        <f t="shared" si="0"/>
        <v>82.27</v>
      </c>
    </row>
    <row r="50" spans="1:4">
      <c r="A50" s="261" t="s">
        <v>36</v>
      </c>
      <c r="B50" t="s">
        <v>70</v>
      </c>
      <c r="C50" s="269">
        <v>0.015</v>
      </c>
      <c r="D50" s="267">
        <f t="shared" si="0"/>
        <v>20.56</v>
      </c>
    </row>
    <row r="51" spans="1:4">
      <c r="A51" s="261" t="s">
        <v>39</v>
      </c>
      <c r="B51" t="s">
        <v>71</v>
      </c>
      <c r="C51" s="269">
        <v>0.01</v>
      </c>
      <c r="D51" s="267">
        <f t="shared" si="0"/>
        <v>13.71</v>
      </c>
    </row>
    <row r="52" spans="1:4">
      <c r="A52" s="261" t="s">
        <v>41</v>
      </c>
      <c r="B52" t="s">
        <v>72</v>
      </c>
      <c r="C52" s="269">
        <v>0.006</v>
      </c>
      <c r="D52" s="267">
        <f t="shared" si="0"/>
        <v>8.22</v>
      </c>
    </row>
    <row r="53" spans="1:4">
      <c r="A53" s="261" t="s">
        <v>73</v>
      </c>
      <c r="B53" t="s">
        <v>74</v>
      </c>
      <c r="C53" s="269">
        <v>0.002</v>
      </c>
      <c r="D53" s="267">
        <f t="shared" si="0"/>
        <v>2.74</v>
      </c>
    </row>
    <row r="54" spans="1:4">
      <c r="A54" s="261" t="s">
        <v>75</v>
      </c>
      <c r="B54" t="s">
        <v>76</v>
      </c>
      <c r="C54" s="269">
        <v>0.08</v>
      </c>
      <c r="D54" s="267">
        <f t="shared" si="0"/>
        <v>109.69</v>
      </c>
    </row>
    <row r="55" spans="1:4">
      <c r="A55" s="261" t="s">
        <v>44</v>
      </c>
      <c r="C55" s="276">
        <f>SUM(C47:C54)</f>
        <v>0.398</v>
      </c>
      <c r="D55" s="267">
        <f>TRUNC(SUM(D47:D54),2)</f>
        <v>545.71</v>
      </c>
    </row>
    <row r="56" spans="1:4">
      <c r="A56" s="261"/>
      <c r="C56" s="276"/>
      <c r="D56" s="267"/>
    </row>
    <row r="57" spans="1:4">
      <c r="A57" s="260" t="s">
        <v>81</v>
      </c>
      <c r="B57" s="260"/>
      <c r="C57" s="260"/>
      <c r="D57" s="260"/>
    </row>
    <row r="58" spans="1:4">
      <c r="A58" s="261" t="s">
        <v>82</v>
      </c>
      <c r="B58" s="265" t="s">
        <v>83</v>
      </c>
      <c r="C58" s="261" t="s">
        <v>4</v>
      </c>
      <c r="D58" s="261" t="s">
        <v>5</v>
      </c>
    </row>
    <row r="59" spans="1:4">
      <c r="A59" s="261" t="s">
        <v>28</v>
      </c>
      <c r="B59" t="s">
        <v>84</v>
      </c>
      <c r="C59" s="262"/>
      <c r="D59" s="278">
        <v>0</v>
      </c>
    </row>
    <row r="60" spans="1:4">
      <c r="A60" s="261" t="s">
        <v>31</v>
      </c>
      <c r="B60" t="s">
        <v>85</v>
      </c>
      <c r="C60" s="262" t="str">
        <f>C9</f>
        <v>CCT PB000047/2021</v>
      </c>
      <c r="D60" s="220">
        <f>TRUNC((((22*18))-(((22*18))*0.2)),2)</f>
        <v>316.8</v>
      </c>
    </row>
    <row r="61" spans="1:4">
      <c r="A61" s="261" t="s">
        <v>34</v>
      </c>
      <c r="B61" t="s">
        <v>86</v>
      </c>
      <c r="C61" s="262"/>
      <c r="D61" s="220">
        <v>0</v>
      </c>
    </row>
    <row r="62" spans="1:6">
      <c r="A62" s="279" t="s">
        <v>36</v>
      </c>
      <c r="B62" s="280" t="s">
        <v>192</v>
      </c>
      <c r="C62" s="196"/>
      <c r="D62" s="196">
        <v>0</v>
      </c>
      <c r="F62" s="280"/>
    </row>
    <row r="63" spans="1:4">
      <c r="A63" s="261" t="s">
        <v>39</v>
      </c>
      <c r="B63" s="265" t="s">
        <v>193</v>
      </c>
      <c r="C63" s="262" t="str">
        <f>C60</f>
        <v>CCT PB000047/2021</v>
      </c>
      <c r="D63" s="220">
        <v>15</v>
      </c>
    </row>
    <row r="64" spans="1:4">
      <c r="A64" s="261" t="s">
        <v>41</v>
      </c>
      <c r="B64" s="281" t="s">
        <v>194</v>
      </c>
      <c r="C64" s="196" t="str">
        <f>C60</f>
        <v>CCT PB000047/2021</v>
      </c>
      <c r="D64" s="220">
        <v>5</v>
      </c>
    </row>
    <row r="65" spans="1:4">
      <c r="A65" s="261" t="s">
        <v>44</v>
      </c>
      <c r="D65" s="267">
        <f>TRUNC((SUM(D59:D64)),2)</f>
        <v>336.8</v>
      </c>
    </row>
    <row r="66" spans="1:4">
      <c r="A66" s="261"/>
      <c r="D66" s="267"/>
    </row>
    <row r="67" spans="1:4">
      <c r="A67" s="260" t="s">
        <v>91</v>
      </c>
      <c r="B67" s="260"/>
      <c r="C67" s="260"/>
      <c r="D67" s="260"/>
    </row>
    <row r="68" spans="1:4">
      <c r="A68" s="261" t="s">
        <v>92</v>
      </c>
      <c r="B68" s="265" t="s">
        <v>93</v>
      </c>
      <c r="C68" s="261" t="s">
        <v>4</v>
      </c>
      <c r="D68" s="261" t="s">
        <v>5</v>
      </c>
    </row>
    <row r="69" spans="1:4">
      <c r="A69" s="261" t="s">
        <v>51</v>
      </c>
      <c r="B69" t="s">
        <v>52</v>
      </c>
      <c r="C69" s="261"/>
      <c r="D69" s="267">
        <f>D39</f>
        <v>223.21</v>
      </c>
    </row>
    <row r="70" spans="1:4">
      <c r="A70" s="261" t="s">
        <v>64</v>
      </c>
      <c r="B70" t="s">
        <v>65</v>
      </c>
      <c r="C70" s="261"/>
      <c r="D70" s="267">
        <f>D55</f>
        <v>545.71</v>
      </c>
    </row>
    <row r="71" spans="1:4">
      <c r="A71" s="261" t="s">
        <v>82</v>
      </c>
      <c r="B71" t="s">
        <v>83</v>
      </c>
      <c r="C71" s="261"/>
      <c r="D71" s="267">
        <f>D65</f>
        <v>336.8</v>
      </c>
    </row>
    <row r="72" spans="1:4">
      <c r="A72" s="261" t="s">
        <v>44</v>
      </c>
      <c r="C72" s="261"/>
      <c r="D72" s="267">
        <f>TRUNC((SUM(D69:D71)),2)</f>
        <v>1105.72</v>
      </c>
    </row>
    <row r="74" spans="1:4">
      <c r="A74" s="244" t="s">
        <v>94</v>
      </c>
      <c r="B74" s="244"/>
      <c r="C74" s="244"/>
      <c r="D74" s="244"/>
    </row>
    <row r="75" spans="1:4">
      <c r="A75" s="261" t="s">
        <v>95</v>
      </c>
      <c r="B75" s="265" t="s">
        <v>96</v>
      </c>
      <c r="C75" s="261" t="s">
        <v>24</v>
      </c>
      <c r="D75" s="261" t="s">
        <v>5</v>
      </c>
    </row>
    <row r="76" spans="1:4">
      <c r="A76" s="261" t="s">
        <v>28</v>
      </c>
      <c r="B76" t="s">
        <v>97</v>
      </c>
      <c r="C76" s="277">
        <f>((1/12)*5%)</f>
        <v>0.00416666666666667</v>
      </c>
      <c r="D76" s="220">
        <f>TRUNC(($D$31*C76),2)</f>
        <v>4.78</v>
      </c>
    </row>
    <row r="77" spans="1:4">
      <c r="A77" s="261" t="s">
        <v>31</v>
      </c>
      <c r="B77" t="s">
        <v>98</v>
      </c>
      <c r="C77" s="282">
        <v>0.08</v>
      </c>
      <c r="D77" s="267">
        <f>TRUNC(($D$76*C77),2)</f>
        <v>0.38</v>
      </c>
    </row>
    <row r="78" ht="30" spans="1:4">
      <c r="A78" s="261" t="s">
        <v>34</v>
      </c>
      <c r="B78" s="283" t="s">
        <v>99</v>
      </c>
      <c r="C78" s="284">
        <f>(0.08*0.4*0.05)</f>
        <v>0.0016</v>
      </c>
      <c r="D78" s="196">
        <f>TRUNC(($D$31*C78),2)</f>
        <v>1.83</v>
      </c>
    </row>
    <row r="79" spans="1:4">
      <c r="A79" s="261" t="s">
        <v>36</v>
      </c>
      <c r="B79" t="s">
        <v>100</v>
      </c>
      <c r="C79" s="285">
        <f>(((7/30)/12)*0.95)</f>
        <v>0.0184722222222222</v>
      </c>
      <c r="D79" s="286">
        <f>TRUNC(($D$31*C79),2)</f>
        <v>21.2</v>
      </c>
    </row>
    <row r="80" ht="30" spans="1:4">
      <c r="A80" s="261" t="s">
        <v>39</v>
      </c>
      <c r="B80" s="283" t="s">
        <v>195</v>
      </c>
      <c r="C80" s="284">
        <f>C55</f>
        <v>0.398</v>
      </c>
      <c r="D80" s="196">
        <f>TRUNC(($D$79*C80),2)</f>
        <v>8.43</v>
      </c>
    </row>
    <row r="81" ht="30" spans="1:4">
      <c r="A81" s="261" t="s">
        <v>41</v>
      </c>
      <c r="B81" s="283" t="s">
        <v>101</v>
      </c>
      <c r="C81" s="285">
        <f>(0.08*0.4*0.95)</f>
        <v>0.0304</v>
      </c>
      <c r="D81" s="306">
        <f>TRUNC(($D$31*C81),2)</f>
        <v>34.89</v>
      </c>
    </row>
    <row r="82" spans="1:4">
      <c r="A82" s="261" t="s">
        <v>44</v>
      </c>
      <c r="C82" s="282">
        <f>SUM(C76:C81)</f>
        <v>0.532638888888889</v>
      </c>
      <c r="D82" s="267">
        <f>TRUNC((SUM(D76:D81)),2)</f>
        <v>71.51</v>
      </c>
    </row>
    <row r="83" ht="15.75" spans="1:4">
      <c r="A83" s="261"/>
      <c r="D83" s="267"/>
    </row>
    <row r="84" ht="16.5" spans="1:4">
      <c r="A84" s="271" t="s">
        <v>196</v>
      </c>
      <c r="B84" s="271"/>
      <c r="C84" s="272" t="s">
        <v>188</v>
      </c>
      <c r="D84" s="273">
        <f>D31</f>
        <v>1148</v>
      </c>
    </row>
    <row r="85" ht="16.5" spans="1:4">
      <c r="A85" s="271"/>
      <c r="B85" s="271"/>
      <c r="C85" s="274" t="s">
        <v>197</v>
      </c>
      <c r="D85" s="273">
        <f>D72</f>
        <v>1105.72</v>
      </c>
    </row>
    <row r="86" ht="16.5" spans="1:4">
      <c r="A86" s="271"/>
      <c r="B86" s="271"/>
      <c r="C86" s="272" t="s">
        <v>198</v>
      </c>
      <c r="D86" s="273">
        <f>D82</f>
        <v>71.51</v>
      </c>
    </row>
    <row r="87" ht="16.5" spans="1:4">
      <c r="A87" s="271"/>
      <c r="B87" s="271"/>
      <c r="C87" s="274" t="s">
        <v>190</v>
      </c>
      <c r="D87" s="275">
        <f>TRUNC((SUM(D84:D86)),2)</f>
        <v>2325.23</v>
      </c>
    </row>
    <row r="88" ht="15.75" spans="1:4">
      <c r="A88" s="261"/>
      <c r="D88" s="267"/>
    </row>
    <row r="89" spans="1:4">
      <c r="A89" s="287" t="s">
        <v>113</v>
      </c>
      <c r="B89" s="287"/>
      <c r="C89" s="287"/>
      <c r="D89" s="287"/>
    </row>
    <row r="90" spans="1:4">
      <c r="A90" s="260" t="s">
        <v>114</v>
      </c>
      <c r="B90" s="260"/>
      <c r="C90" s="260"/>
      <c r="D90" s="260"/>
    </row>
    <row r="91" spans="1:4">
      <c r="A91" s="261" t="s">
        <v>115</v>
      </c>
      <c r="B91" s="265" t="s">
        <v>116</v>
      </c>
      <c r="C91" s="261" t="s">
        <v>24</v>
      </c>
      <c r="D91" s="261" t="s">
        <v>5</v>
      </c>
    </row>
    <row r="92" spans="1:4">
      <c r="A92" s="261" t="s">
        <v>28</v>
      </c>
      <c r="B92" t="s">
        <v>199</v>
      </c>
      <c r="C92" s="282">
        <f>(((1+1/3)/12)/12)+((1/12)/12)</f>
        <v>0.0162037037037037</v>
      </c>
      <c r="D92" s="267">
        <f>TRUNC(($D$87*C92),2)</f>
        <v>37.67</v>
      </c>
    </row>
    <row r="93" spans="1:4">
      <c r="A93" s="261" t="s">
        <v>31</v>
      </c>
      <c r="B93" t="s">
        <v>119</v>
      </c>
      <c r="C93" s="277">
        <f>((2/30)/12)</f>
        <v>0.00555555555555556</v>
      </c>
      <c r="D93" s="196">
        <f t="shared" ref="D92:D96" si="1">TRUNC(($D$87*C93),2)</f>
        <v>12.91</v>
      </c>
    </row>
    <row r="94" spans="1:4">
      <c r="A94" s="261" t="s">
        <v>34</v>
      </c>
      <c r="B94" t="s">
        <v>120</v>
      </c>
      <c r="C94" s="277">
        <f>((5/30)/12)*0.02</f>
        <v>0.000277777777777778</v>
      </c>
      <c r="D94" s="196">
        <f t="shared" si="1"/>
        <v>0.64</v>
      </c>
    </row>
    <row r="95" ht="30" spans="1:4">
      <c r="A95" s="279" t="s">
        <v>36</v>
      </c>
      <c r="B95" s="283" t="s">
        <v>121</v>
      </c>
      <c r="C95" s="284">
        <f>((15/30)/12)*0.08</f>
        <v>0.00333333333333333</v>
      </c>
      <c r="D95" s="196">
        <f t="shared" si="1"/>
        <v>7.75</v>
      </c>
    </row>
    <row r="96" spans="1:4">
      <c r="A96" s="261" t="s">
        <v>39</v>
      </c>
      <c r="B96" t="s">
        <v>122</v>
      </c>
      <c r="C96" s="277">
        <f>((1+1/3)/12)*0.03*((4/12))</f>
        <v>0.00111111111111111</v>
      </c>
      <c r="D96" s="196">
        <f t="shared" si="1"/>
        <v>2.58</v>
      </c>
    </row>
    <row r="97" spans="1:4">
      <c r="A97" s="261" t="s">
        <v>41</v>
      </c>
      <c r="B97" s="283" t="s">
        <v>200</v>
      </c>
      <c r="C97" s="288">
        <v>0</v>
      </c>
      <c r="D97" s="196">
        <f>TRUNC($D$87*C97)</f>
        <v>0</v>
      </c>
    </row>
    <row r="98" spans="1:4">
      <c r="A98" s="261" t="s">
        <v>44</v>
      </c>
      <c r="C98" s="282">
        <f>SUM(C92:C97)</f>
        <v>0.0264814814814815</v>
      </c>
      <c r="D98" s="267">
        <f>TRUNC((SUM(D92:D97)),2)</f>
        <v>61.55</v>
      </c>
    </row>
    <row r="99" spans="1:4">
      <c r="A99" s="261"/>
      <c r="C99" s="261"/>
      <c r="D99" s="267"/>
    </row>
    <row r="100" spans="1:4">
      <c r="A100" s="260" t="s">
        <v>130</v>
      </c>
      <c r="B100" s="260"/>
      <c r="C100" s="260"/>
      <c r="D100" s="260"/>
    </row>
    <row r="101" spans="1:4">
      <c r="A101" s="261" t="s">
        <v>131</v>
      </c>
      <c r="B101" s="265" t="s">
        <v>132</v>
      </c>
      <c r="C101" s="261" t="s">
        <v>4</v>
      </c>
      <c r="D101" s="261" t="s">
        <v>5</v>
      </c>
    </row>
    <row r="102" ht="90" spans="1:4">
      <c r="A102" s="279" t="s">
        <v>28</v>
      </c>
      <c r="B102" s="289" t="s">
        <v>133</v>
      </c>
      <c r="C102" s="207" t="s">
        <v>201</v>
      </c>
      <c r="D102" s="208" t="s">
        <v>202</v>
      </c>
    </row>
    <row r="103" spans="1:4">
      <c r="A103" s="261" t="s">
        <v>44</v>
      </c>
      <c r="C103" s="290"/>
      <c r="D103" s="209" t="str">
        <f>D102</f>
        <v>*=TRUNCAR(($D$86/220)*(1*(365/12))/2)</v>
      </c>
    </row>
    <row r="105" spans="1:4">
      <c r="A105" s="260" t="s">
        <v>134</v>
      </c>
      <c r="B105" s="260"/>
      <c r="C105" s="260"/>
      <c r="D105" s="260"/>
    </row>
    <row r="106" spans="1:4">
      <c r="A106" s="261" t="s">
        <v>135</v>
      </c>
      <c r="B106" s="265" t="s">
        <v>136</v>
      </c>
      <c r="C106" s="261" t="s">
        <v>4</v>
      </c>
      <c r="D106" s="261" t="s">
        <v>5</v>
      </c>
    </row>
    <row r="107" spans="1:4">
      <c r="A107" s="261" t="s">
        <v>115</v>
      </c>
      <c r="B107" t="s">
        <v>116</v>
      </c>
      <c r="D107" s="220">
        <f>D98</f>
        <v>61.55</v>
      </c>
    </row>
    <row r="108" spans="1:4">
      <c r="A108" s="261" t="s">
        <v>131</v>
      </c>
      <c r="B108" t="s">
        <v>137</v>
      </c>
      <c r="C108" s="265"/>
      <c r="D108" s="291" t="str">
        <f>Submódulo4.260_55107[[#Totals],[Valor]]</f>
        <v>*=TRUNCAR(($D$86/220)*(1*(365/12))/2)</v>
      </c>
    </row>
    <row r="109" ht="60" spans="1:4">
      <c r="A109" s="279" t="s">
        <v>44</v>
      </c>
      <c r="B109" s="280"/>
      <c r="C109" s="207" t="s">
        <v>203</v>
      </c>
      <c r="D109" s="292">
        <f>TRUNC((SUM(D107:D108)),2)</f>
        <v>61.55</v>
      </c>
    </row>
    <row r="111" spans="1:4">
      <c r="A111" s="244" t="s">
        <v>138</v>
      </c>
      <c r="B111" s="244"/>
      <c r="C111" s="244"/>
      <c r="D111" s="244"/>
    </row>
    <row r="112" ht="37" customHeight="1" spans="1:4">
      <c r="A112" s="279" t="s">
        <v>139</v>
      </c>
      <c r="B112" s="280" t="s">
        <v>140</v>
      </c>
      <c r="C112" s="279" t="s">
        <v>4</v>
      </c>
      <c r="D112" s="279" t="s">
        <v>5</v>
      </c>
    </row>
    <row r="113" spans="1:4">
      <c r="A113" s="261" t="s">
        <v>28</v>
      </c>
      <c r="B113" s="85" t="s">
        <v>204</v>
      </c>
      <c r="C113" s="85"/>
      <c r="D113" s="180">
        <f>Uniformes!G11</f>
        <v>92.4</v>
      </c>
    </row>
    <row r="114" spans="1:4">
      <c r="A114" s="261" t="s">
        <v>31</v>
      </c>
      <c r="B114" s="85" t="s">
        <v>205</v>
      </c>
      <c r="C114" s="85"/>
      <c r="D114" s="180">
        <f>EPC!E21</f>
        <v>8.97</v>
      </c>
    </row>
    <row r="115" spans="1:4">
      <c r="A115" s="261" t="s">
        <v>34</v>
      </c>
      <c r="B115" s="85" t="s">
        <v>142</v>
      </c>
      <c r="C115" s="85"/>
      <c r="D115" s="180">
        <v>0</v>
      </c>
    </row>
    <row r="116" spans="1:4">
      <c r="A116" s="261" t="s">
        <v>36</v>
      </c>
      <c r="B116" s="85" t="s">
        <v>143</v>
      </c>
      <c r="C116" s="85"/>
      <c r="D116" s="180">
        <v>0</v>
      </c>
    </row>
    <row r="117" spans="1:4">
      <c r="A117" s="261" t="s">
        <v>39</v>
      </c>
      <c r="B117" s="85" t="s">
        <v>206</v>
      </c>
      <c r="C117" s="178"/>
      <c r="D117" s="307">
        <v>0</v>
      </c>
    </row>
    <row r="118" spans="1:4">
      <c r="A118" s="261" t="s">
        <v>44</v>
      </c>
      <c r="D118" s="267">
        <f>TRUNC(SUM(D113:D117),2)</f>
        <v>101.37</v>
      </c>
    </row>
    <row r="119" ht="15.75"/>
    <row r="120" ht="16.5" spans="1:4">
      <c r="A120" s="271" t="s">
        <v>207</v>
      </c>
      <c r="B120" s="271"/>
      <c r="C120" s="272" t="s">
        <v>188</v>
      </c>
      <c r="D120" s="273">
        <f>D31</f>
        <v>1148</v>
      </c>
    </row>
    <row r="121" ht="16.5" spans="1:4">
      <c r="A121" s="271"/>
      <c r="B121" s="271"/>
      <c r="C121" s="274" t="s">
        <v>197</v>
      </c>
      <c r="D121" s="273">
        <f>D72</f>
        <v>1105.72</v>
      </c>
    </row>
    <row r="122" ht="16.5" spans="1:4">
      <c r="A122" s="271"/>
      <c r="B122" s="271"/>
      <c r="C122" s="272" t="s">
        <v>198</v>
      </c>
      <c r="D122" s="273">
        <f>D82</f>
        <v>71.51</v>
      </c>
    </row>
    <row r="123" ht="16.5" spans="1:4">
      <c r="A123" s="271"/>
      <c r="B123" s="271"/>
      <c r="C123" s="274" t="s">
        <v>208</v>
      </c>
      <c r="D123" s="273">
        <f>D109</f>
        <v>61.55</v>
      </c>
    </row>
    <row r="124" ht="16.5" spans="1:4">
      <c r="A124" s="271"/>
      <c r="B124" s="271"/>
      <c r="C124" s="272" t="s">
        <v>209</v>
      </c>
      <c r="D124" s="273">
        <f>D118</f>
        <v>101.37</v>
      </c>
    </row>
    <row r="125" ht="16.5" spans="1:4">
      <c r="A125" s="271"/>
      <c r="B125" s="271"/>
      <c r="C125" s="274" t="s">
        <v>190</v>
      </c>
      <c r="D125" s="275">
        <f>TRUNC((SUM(D120:D124)),2)</f>
        <v>2488.15</v>
      </c>
    </row>
    <row r="126" ht="15.75"/>
    <row r="127" spans="1:4">
      <c r="A127" s="244" t="s">
        <v>150</v>
      </c>
      <c r="B127" s="244"/>
      <c r="C127" s="244"/>
      <c r="D127" s="244"/>
    </row>
    <row r="128" ht="15.75" spans="1:7">
      <c r="A128" s="261" t="s">
        <v>151</v>
      </c>
      <c r="B128" t="s">
        <v>152</v>
      </c>
      <c r="C128" s="261" t="s">
        <v>24</v>
      </c>
      <c r="D128" s="261" t="s">
        <v>5</v>
      </c>
      <c r="F128" s="221" t="s">
        <v>210</v>
      </c>
      <c r="G128" s="221"/>
    </row>
    <row r="129" ht="15.75" spans="1:7">
      <c r="A129" s="261" t="s">
        <v>28</v>
      </c>
      <c r="B129" s="85" t="s">
        <v>153</v>
      </c>
      <c r="C129" s="193">
        <v>0.044</v>
      </c>
      <c r="D129" s="180">
        <f>TRUNC(($D$125*C129),2)</f>
        <v>109.47</v>
      </c>
      <c r="F129" s="223" t="s">
        <v>211</v>
      </c>
      <c r="G129" s="284">
        <f>C131</f>
        <v>0.0865</v>
      </c>
    </row>
    <row r="130" ht="15.75" spans="1:7">
      <c r="A130" s="261" t="s">
        <v>31</v>
      </c>
      <c r="B130" s="85" t="s">
        <v>45</v>
      </c>
      <c r="C130" s="193">
        <v>0.0413</v>
      </c>
      <c r="D130" s="180">
        <f>TRUNC((C130*(D125+D129)),2)</f>
        <v>107.28</v>
      </c>
      <c r="F130" s="293" t="s">
        <v>212</v>
      </c>
      <c r="G130" s="294">
        <f>TRUNC(SUM(D125,D129,D130),2)</f>
        <v>2704.9</v>
      </c>
    </row>
    <row r="131" ht="15.75" spans="1:7">
      <c r="A131" s="261" t="s">
        <v>34</v>
      </c>
      <c r="B131" t="s">
        <v>154</v>
      </c>
      <c r="C131" s="277">
        <f>SUM(C132:C134)</f>
        <v>0.0865</v>
      </c>
      <c r="D131" s="220">
        <f>SUM(D132:D134)</f>
        <v>256.12</v>
      </c>
      <c r="F131" s="223" t="s">
        <v>213</v>
      </c>
      <c r="G131" s="295">
        <f>(100-8.65)/100</f>
        <v>0.9135</v>
      </c>
    </row>
    <row r="132" ht="15.75" spans="1:7">
      <c r="A132" s="261"/>
      <c r="B132" t="s">
        <v>214</v>
      </c>
      <c r="C132" s="277">
        <v>0.0065</v>
      </c>
      <c r="D132" s="220">
        <f t="shared" ref="D132:D134" si="2">TRUNC(($G$132*C132),2)</f>
        <v>19.24</v>
      </c>
      <c r="F132" s="293" t="s">
        <v>210</v>
      </c>
      <c r="G132" s="294">
        <f>TRUNC((G130/G131),2)</f>
        <v>2961.02</v>
      </c>
    </row>
    <row r="133" ht="15.75" spans="1:4">
      <c r="A133" s="261"/>
      <c r="B133" t="s">
        <v>215</v>
      </c>
      <c r="C133" s="277">
        <v>0.03</v>
      </c>
      <c r="D133" s="220">
        <f t="shared" si="2"/>
        <v>88.83</v>
      </c>
    </row>
    <row r="134" spans="1:4">
      <c r="A134" s="261"/>
      <c r="B134" t="s">
        <v>216</v>
      </c>
      <c r="C134" s="277">
        <v>0.05</v>
      </c>
      <c r="D134" s="220">
        <f t="shared" si="2"/>
        <v>148.05</v>
      </c>
    </row>
    <row r="135" spans="1:4">
      <c r="A135" s="261" t="s">
        <v>44</v>
      </c>
      <c r="B135" s="85"/>
      <c r="C135" s="296"/>
      <c r="D135" s="267">
        <f>SUM(D129:D131)</f>
        <v>472.87</v>
      </c>
    </row>
    <row r="136" spans="1:4">
      <c r="A136" s="261"/>
      <c r="C136" s="296"/>
      <c r="D136" s="267"/>
    </row>
    <row r="138" spans="1:4">
      <c r="A138" s="244" t="s">
        <v>158</v>
      </c>
      <c r="B138" s="244"/>
      <c r="C138" s="244"/>
      <c r="D138" s="244"/>
    </row>
    <row r="139" spans="1:4">
      <c r="A139" s="261" t="s">
        <v>2</v>
      </c>
      <c r="B139" s="261" t="s">
        <v>159</v>
      </c>
      <c r="C139" s="261" t="s">
        <v>88</v>
      </c>
      <c r="D139" s="261" t="s">
        <v>5</v>
      </c>
    </row>
    <row r="140" spans="1:4">
      <c r="A140" s="261" t="s">
        <v>28</v>
      </c>
      <c r="B140" t="s">
        <v>22</v>
      </c>
      <c r="D140" s="267">
        <f>D31</f>
        <v>1148</v>
      </c>
    </row>
    <row r="141" spans="1:4">
      <c r="A141" s="261" t="s">
        <v>31</v>
      </c>
      <c r="B141" t="s">
        <v>47</v>
      </c>
      <c r="D141" s="267">
        <f>D72</f>
        <v>1105.72</v>
      </c>
    </row>
    <row r="142" spans="1:4">
      <c r="A142" s="261" t="s">
        <v>34</v>
      </c>
      <c r="B142" t="s">
        <v>94</v>
      </c>
      <c r="D142" s="267">
        <f>D82</f>
        <v>71.51</v>
      </c>
    </row>
    <row r="143" spans="1:4">
      <c r="A143" s="261" t="s">
        <v>36</v>
      </c>
      <c r="B143" t="s">
        <v>160</v>
      </c>
      <c r="D143" s="267">
        <f>D109</f>
        <v>61.55</v>
      </c>
    </row>
    <row r="144" spans="1:4">
      <c r="A144" s="261" t="s">
        <v>39</v>
      </c>
      <c r="B144" t="s">
        <v>138</v>
      </c>
      <c r="D144" s="267">
        <f>D118</f>
        <v>101.37</v>
      </c>
    </row>
    <row r="145" spans="2:4">
      <c r="B145" s="297" t="s">
        <v>161</v>
      </c>
      <c r="D145" s="267">
        <f>SUM(D140:D144)</f>
        <v>2488.15</v>
      </c>
    </row>
    <row r="146" spans="1:4">
      <c r="A146" s="261" t="s">
        <v>41</v>
      </c>
      <c r="B146" t="s">
        <v>150</v>
      </c>
      <c r="D146" s="267">
        <f>D135</f>
        <v>472.87</v>
      </c>
    </row>
    <row r="147" spans="1:4">
      <c r="A147" s="298"/>
      <c r="B147" s="299" t="s">
        <v>217</v>
      </c>
      <c r="C147" s="298"/>
      <c r="D147" s="300">
        <f>TRUNC((SUM(D140:D144)+D146),2)</f>
        <v>2961.02</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8"/>
  <sheetViews>
    <sheetView topLeftCell="A70" workbookViewId="0">
      <selection activeCell="F93" sqref="F93"/>
    </sheetView>
  </sheetViews>
  <sheetFormatPr defaultColWidth="9.14285714285714" defaultRowHeight="15" outlineLevelCol="6"/>
  <cols>
    <col min="1" max="1" width="11.1428571428571" customWidth="1"/>
    <col min="2" max="2" width="57" customWidth="1"/>
    <col min="3" max="3" width="29.8571428571429" customWidth="1"/>
    <col min="4" max="4" width="31.2857142857143" customWidth="1"/>
    <col min="6" max="6" width="22.8571428571429" customWidth="1"/>
    <col min="7" max="7" width="11.4285714285714" customWidth="1"/>
    <col min="9" max="9" width="11.4285714285714" customWidth="1"/>
  </cols>
  <sheetData>
    <row r="2" ht="19.5" spans="1:4">
      <c r="A2" s="237" t="s">
        <v>163</v>
      </c>
      <c r="B2" s="237"/>
      <c r="C2" s="237"/>
      <c r="D2" s="237"/>
    </row>
    <row r="3" ht="15.75" spans="1:4">
      <c r="A3" s="238" t="s">
        <v>164</v>
      </c>
      <c r="B3" s="238"/>
      <c r="C3" s="238"/>
      <c r="D3" s="238"/>
    </row>
    <row r="4" spans="1:4">
      <c r="A4" s="239" t="s">
        <v>165</v>
      </c>
      <c r="B4" s="240" t="s">
        <v>166</v>
      </c>
      <c r="C4" s="241"/>
      <c r="D4" s="241"/>
    </row>
    <row r="5" spans="1:4">
      <c r="A5" s="242"/>
      <c r="B5" s="243"/>
      <c r="C5" s="243"/>
      <c r="D5" s="243"/>
    </row>
    <row r="6" ht="15.75" spans="1:4">
      <c r="A6" s="244" t="s">
        <v>167</v>
      </c>
      <c r="B6" s="244"/>
      <c r="C6" s="244"/>
      <c r="D6" s="244"/>
    </row>
    <row r="7" ht="15.75" spans="1:4">
      <c r="A7" s="245" t="s">
        <v>28</v>
      </c>
      <c r="B7" s="246" t="s">
        <v>168</v>
      </c>
      <c r="C7" s="247" t="s">
        <v>169</v>
      </c>
      <c r="D7" s="247"/>
    </row>
    <row r="8" spans="1:4">
      <c r="A8" s="248" t="s">
        <v>31</v>
      </c>
      <c r="B8" s="249" t="s">
        <v>170</v>
      </c>
      <c r="C8" s="250" t="s">
        <v>171</v>
      </c>
      <c r="D8" s="250"/>
    </row>
    <row r="9" spans="1:4">
      <c r="A9" s="251" t="s">
        <v>34</v>
      </c>
      <c r="B9" s="252" t="s">
        <v>172</v>
      </c>
      <c r="C9" s="250" t="s">
        <v>173</v>
      </c>
      <c r="D9" s="250"/>
    </row>
    <row r="10" spans="1:4">
      <c r="A10" s="248" t="s">
        <v>39</v>
      </c>
      <c r="B10" s="249" t="s">
        <v>174</v>
      </c>
      <c r="C10" s="250" t="s">
        <v>175</v>
      </c>
      <c r="D10" s="250"/>
    </row>
    <row r="11" ht="15.75" spans="1:4">
      <c r="A11" s="253" t="s">
        <v>176</v>
      </c>
      <c r="B11" s="253"/>
      <c r="C11" s="253"/>
      <c r="D11" s="253"/>
    </row>
    <row r="12" ht="16.5" spans="1:4">
      <c r="A12" s="254" t="s">
        <v>177</v>
      </c>
      <c r="B12" s="254"/>
      <c r="C12" s="253" t="s">
        <v>178</v>
      </c>
      <c r="D12" s="255" t="s">
        <v>179</v>
      </c>
    </row>
    <row r="13" ht="15.75" spans="1:4">
      <c r="A13" s="256" t="s">
        <v>218</v>
      </c>
      <c r="B13" s="256"/>
      <c r="C13" s="250" t="s">
        <v>219</v>
      </c>
      <c r="D13" s="257">
        <f>RESUMO!D4</f>
        <v>3</v>
      </c>
    </row>
    <row r="14" spans="1:4">
      <c r="A14" s="258"/>
      <c r="B14" s="258"/>
      <c r="C14" s="250"/>
      <c r="D14" s="259"/>
    </row>
    <row r="15" ht="15.75" spans="1:7">
      <c r="A15" s="253" t="s">
        <v>0</v>
      </c>
      <c r="B15" s="253"/>
      <c r="C15" s="253"/>
      <c r="D15" s="253"/>
      <c r="F15" s="260"/>
      <c r="G15" s="260"/>
    </row>
    <row r="16" ht="15.75" spans="1:4">
      <c r="A16" s="261" t="s">
        <v>2</v>
      </c>
      <c r="B16" t="s">
        <v>3</v>
      </c>
      <c r="C16" s="261" t="s">
        <v>4</v>
      </c>
      <c r="D16" s="261" t="s">
        <v>5</v>
      </c>
    </row>
    <row r="17" spans="1:6">
      <c r="A17" s="261">
        <v>1</v>
      </c>
      <c r="B17" t="s">
        <v>6</v>
      </c>
      <c r="C17" s="262" t="s">
        <v>88</v>
      </c>
      <c r="D17" s="262" t="str">
        <f>A13</f>
        <v>Agente de Portaria</v>
      </c>
      <c r="F17" s="301"/>
    </row>
    <row r="18" spans="1:4">
      <c r="A18" s="261">
        <v>2</v>
      </c>
      <c r="B18" t="s">
        <v>9</v>
      </c>
      <c r="C18" s="262" t="s">
        <v>182</v>
      </c>
      <c r="D18" s="262" t="s">
        <v>220</v>
      </c>
    </row>
    <row r="19" spans="1:4">
      <c r="A19" s="261">
        <v>3</v>
      </c>
      <c r="B19" t="s">
        <v>12</v>
      </c>
      <c r="C19" s="262" t="str">
        <f>C9</f>
        <v>CCT PB000047/2021</v>
      </c>
      <c r="D19" s="220">
        <v>1124</v>
      </c>
    </row>
    <row r="20" spans="1:4">
      <c r="A20" s="261">
        <v>4</v>
      </c>
      <c r="B20" t="s">
        <v>15</v>
      </c>
      <c r="C20" s="262" t="str">
        <f>C9</f>
        <v>CCT PB000047/2021</v>
      </c>
      <c r="D20" s="263" t="s">
        <v>184</v>
      </c>
    </row>
    <row r="21" spans="1:4">
      <c r="A21" s="261">
        <v>5</v>
      </c>
      <c r="B21" t="s">
        <v>19</v>
      </c>
      <c r="C21" s="262" t="str">
        <f>C9</f>
        <v>CCT PB000047/2021</v>
      </c>
      <c r="D21" s="264" t="s">
        <v>185</v>
      </c>
    </row>
    <row r="22" spans="6:7">
      <c r="F22" s="260"/>
      <c r="G22" s="260"/>
    </row>
    <row r="23" spans="1:4">
      <c r="A23" s="244" t="s">
        <v>22</v>
      </c>
      <c r="B23" s="244"/>
      <c r="C23" s="244"/>
      <c r="D23" s="244"/>
    </row>
    <row r="24" spans="1:7">
      <c r="A24" s="261" t="s">
        <v>25</v>
      </c>
      <c r="B24" s="265" t="s">
        <v>26</v>
      </c>
      <c r="C24" s="261" t="s">
        <v>4</v>
      </c>
      <c r="D24" s="261" t="s">
        <v>5</v>
      </c>
      <c r="G24" s="266"/>
    </row>
    <row r="25" spans="1:7">
      <c r="A25" s="261" t="s">
        <v>28</v>
      </c>
      <c r="B25" t="s">
        <v>29</v>
      </c>
      <c r="C25" s="263" t="s">
        <v>221</v>
      </c>
      <c r="D25" s="220">
        <f>D19</f>
        <v>1124</v>
      </c>
      <c r="G25" s="266"/>
    </row>
    <row r="26" spans="1:7">
      <c r="A26" s="261" t="s">
        <v>31</v>
      </c>
      <c r="B26" t="s">
        <v>32</v>
      </c>
      <c r="C26" s="263"/>
      <c r="D26" s="220">
        <v>0</v>
      </c>
      <c r="G26" s="266"/>
    </row>
    <row r="27" spans="1:4">
      <c r="A27" s="261" t="s">
        <v>34</v>
      </c>
      <c r="B27" t="s">
        <v>35</v>
      </c>
      <c r="C27" s="263"/>
      <c r="D27" s="220">
        <v>0</v>
      </c>
    </row>
    <row r="28" spans="1:4">
      <c r="A28" s="261" t="s">
        <v>36</v>
      </c>
      <c r="B28" t="s">
        <v>37</v>
      </c>
      <c r="C28" s="263"/>
      <c r="D28" s="220">
        <v>0</v>
      </c>
    </row>
    <row r="29" spans="1:4">
      <c r="A29" s="261" t="s">
        <v>39</v>
      </c>
      <c r="B29" t="s">
        <v>40</v>
      </c>
      <c r="C29" s="263"/>
      <c r="D29" s="220">
        <v>0</v>
      </c>
    </row>
    <row r="30" spans="1:4">
      <c r="A30" s="261" t="s">
        <v>41</v>
      </c>
      <c r="B30" t="s">
        <v>42</v>
      </c>
      <c r="C30" s="263"/>
      <c r="D30" s="220">
        <v>0</v>
      </c>
    </row>
    <row r="31" spans="1:7">
      <c r="A31" s="261" t="s">
        <v>44</v>
      </c>
      <c r="C31" s="261"/>
      <c r="D31" s="267">
        <f>TRUNC((SUM(D25:D30)),2)</f>
        <v>1124</v>
      </c>
      <c r="F31" s="260"/>
      <c r="G31" s="260"/>
    </row>
    <row r="33" spans="1:7">
      <c r="A33" s="268" t="s">
        <v>47</v>
      </c>
      <c r="B33" s="268"/>
      <c r="C33" s="268"/>
      <c r="D33" s="268"/>
      <c r="G33" s="266"/>
    </row>
    <row r="35" spans="1:4">
      <c r="A35" s="260" t="s">
        <v>49</v>
      </c>
      <c r="B35" s="260"/>
      <c r="C35" s="260"/>
      <c r="D35" s="260"/>
    </row>
    <row r="36" spans="1:4">
      <c r="A36" s="261" t="s">
        <v>51</v>
      </c>
      <c r="B36" s="265" t="s">
        <v>52</v>
      </c>
      <c r="C36" s="261" t="s">
        <v>24</v>
      </c>
      <c r="D36" s="261" t="s">
        <v>5</v>
      </c>
    </row>
    <row r="37" spans="1:7">
      <c r="A37" s="261" t="s">
        <v>28</v>
      </c>
      <c r="B37" t="s">
        <v>53</v>
      </c>
      <c r="C37" s="269">
        <f>(1/12)</f>
        <v>0.0833333333333333</v>
      </c>
      <c r="D37" s="267">
        <f>TRUNC($D$31*C37,2)</f>
        <v>93.66</v>
      </c>
      <c r="F37" s="270"/>
      <c r="G37" s="270"/>
    </row>
    <row r="38" spans="1:7">
      <c r="A38" s="261" t="s">
        <v>31</v>
      </c>
      <c r="B38" t="s">
        <v>54</v>
      </c>
      <c r="C38" s="269">
        <f>(((1+1/3)/12))</f>
        <v>0.111111111111111</v>
      </c>
      <c r="D38" s="267">
        <f>TRUNC($D$31*C38,2)</f>
        <v>124.88</v>
      </c>
      <c r="F38" s="270"/>
      <c r="G38" s="270"/>
    </row>
    <row r="39" spans="1:7">
      <c r="A39" s="261" t="s">
        <v>44</v>
      </c>
      <c r="D39" s="267">
        <f>TRUNC((SUM(D37:D38)),2)</f>
        <v>218.54</v>
      </c>
      <c r="F39" s="270"/>
      <c r="G39" s="270"/>
    </row>
    <row r="40" ht="15.75" spans="4:7">
      <c r="D40" s="267"/>
      <c r="F40" s="270"/>
      <c r="G40" s="270"/>
    </row>
    <row r="41" ht="16.5" spans="1:7">
      <c r="A41" s="271" t="s">
        <v>187</v>
      </c>
      <c r="B41" s="271"/>
      <c r="C41" s="272" t="s">
        <v>188</v>
      </c>
      <c r="D41" s="273">
        <f>D31</f>
        <v>1124</v>
      </c>
      <c r="F41" s="270"/>
      <c r="G41" s="270"/>
    </row>
    <row r="42" ht="16.5" spans="1:7">
      <c r="A42" s="271"/>
      <c r="B42" s="271"/>
      <c r="C42" s="274" t="s">
        <v>189</v>
      </c>
      <c r="D42" s="273">
        <f>D39</f>
        <v>218.54</v>
      </c>
      <c r="F42" s="270"/>
      <c r="G42" s="270"/>
    </row>
    <row r="43" ht="16.5" spans="1:7">
      <c r="A43" s="271"/>
      <c r="B43" s="271"/>
      <c r="C43" s="272" t="s">
        <v>190</v>
      </c>
      <c r="D43" s="275">
        <f>TRUNC(SUM(D41:D42),2)</f>
        <v>1342.54</v>
      </c>
      <c r="F43" s="270"/>
      <c r="G43" s="270"/>
    </row>
    <row r="44" ht="15.75" spans="1:7">
      <c r="A44" s="261"/>
      <c r="C44" s="276"/>
      <c r="D44" s="267"/>
      <c r="F44" s="270"/>
      <c r="G44" s="270"/>
    </row>
    <row r="45" spans="1:4">
      <c r="A45" s="260" t="s">
        <v>63</v>
      </c>
      <c r="B45" s="260"/>
      <c r="C45" s="260"/>
      <c r="D45" s="260"/>
    </row>
    <row r="46" spans="1:4">
      <c r="A46" s="261" t="s">
        <v>64</v>
      </c>
      <c r="B46" s="265" t="s">
        <v>65</v>
      </c>
      <c r="C46" s="261" t="s">
        <v>24</v>
      </c>
      <c r="D46" s="261" t="s">
        <v>66</v>
      </c>
    </row>
    <row r="47" spans="1:4">
      <c r="A47" s="261" t="s">
        <v>28</v>
      </c>
      <c r="B47" t="s">
        <v>67</v>
      </c>
      <c r="C47" s="269">
        <v>0.2</v>
      </c>
      <c r="D47" s="302">
        <f t="shared" ref="D47:D54" si="0">TRUNC(($D$43*C47),2)</f>
        <v>268.5</v>
      </c>
    </row>
    <row r="48" spans="1:4">
      <c r="A48" s="261" t="s">
        <v>31</v>
      </c>
      <c r="B48" t="s">
        <v>68</v>
      </c>
      <c r="C48" s="269">
        <v>0.025</v>
      </c>
      <c r="D48" s="302">
        <f t="shared" si="0"/>
        <v>33.56</v>
      </c>
    </row>
    <row r="49" spans="1:4">
      <c r="A49" s="261" t="s">
        <v>34</v>
      </c>
      <c r="B49" t="s">
        <v>191</v>
      </c>
      <c r="C49" s="277">
        <v>0.06</v>
      </c>
      <c r="D49" s="302">
        <f t="shared" si="0"/>
        <v>80.55</v>
      </c>
    </row>
    <row r="50" spans="1:4">
      <c r="A50" s="261" t="s">
        <v>36</v>
      </c>
      <c r="B50" t="s">
        <v>70</v>
      </c>
      <c r="C50" s="269">
        <v>0.015</v>
      </c>
      <c r="D50" s="302">
        <f t="shared" si="0"/>
        <v>20.13</v>
      </c>
    </row>
    <row r="51" spans="1:4">
      <c r="A51" s="261" t="s">
        <v>39</v>
      </c>
      <c r="B51" t="s">
        <v>71</v>
      </c>
      <c r="C51" s="269">
        <v>0.01</v>
      </c>
      <c r="D51" s="302">
        <f t="shared" si="0"/>
        <v>13.42</v>
      </c>
    </row>
    <row r="52" spans="1:4">
      <c r="A52" s="261" t="s">
        <v>41</v>
      </c>
      <c r="B52" t="s">
        <v>72</v>
      </c>
      <c r="C52" s="269">
        <v>0.006</v>
      </c>
      <c r="D52" s="302">
        <f t="shared" si="0"/>
        <v>8.05</v>
      </c>
    </row>
    <row r="53" spans="1:4">
      <c r="A53" s="261" t="s">
        <v>73</v>
      </c>
      <c r="B53" t="s">
        <v>74</v>
      </c>
      <c r="C53" s="269">
        <v>0.002</v>
      </c>
      <c r="D53" s="302">
        <f t="shared" si="0"/>
        <v>2.68</v>
      </c>
    </row>
    <row r="54" spans="1:4">
      <c r="A54" s="261" t="s">
        <v>75</v>
      </c>
      <c r="B54" t="s">
        <v>76</v>
      </c>
      <c r="C54" s="269">
        <v>0.08</v>
      </c>
      <c r="D54" s="302">
        <f t="shared" si="0"/>
        <v>107.4</v>
      </c>
    </row>
    <row r="55" spans="1:4">
      <c r="A55" s="261" t="s">
        <v>44</v>
      </c>
      <c r="C55" s="276">
        <f>SUM(C47:C54)</f>
        <v>0.398</v>
      </c>
      <c r="D55" s="267">
        <f>TRUNC((SUM(D47:D54)),2)</f>
        <v>534.29</v>
      </c>
    </row>
    <row r="56" spans="1:4">
      <c r="A56" s="261"/>
      <c r="C56" s="276"/>
      <c r="D56" s="267"/>
    </row>
    <row r="57" spans="1:4">
      <c r="A57" s="260" t="s">
        <v>81</v>
      </c>
      <c r="B57" s="260"/>
      <c r="C57" s="260"/>
      <c r="D57" s="260"/>
    </row>
    <row r="58" spans="1:4">
      <c r="A58" s="261" t="s">
        <v>82</v>
      </c>
      <c r="B58" s="265" t="s">
        <v>83</v>
      </c>
      <c r="C58" s="261" t="s">
        <v>4</v>
      </c>
      <c r="D58" s="261" t="s">
        <v>5</v>
      </c>
    </row>
    <row r="59" spans="1:4">
      <c r="A59" s="261" t="s">
        <v>28</v>
      </c>
      <c r="B59" t="s">
        <v>84</v>
      </c>
      <c r="C59" s="262"/>
      <c r="D59" s="278">
        <v>0</v>
      </c>
    </row>
    <row r="60" spans="1:4">
      <c r="A60" s="261" t="s">
        <v>31</v>
      </c>
      <c r="B60" t="s">
        <v>85</v>
      </c>
      <c r="C60" s="262" t="str">
        <f>C9</f>
        <v>CCT PB000047/2021</v>
      </c>
      <c r="D60" s="220">
        <f>TRUNC((((22*18))-(((22*18))*0.2)),2)</f>
        <v>316.8</v>
      </c>
    </row>
    <row r="61" spans="1:4">
      <c r="A61" s="261" t="s">
        <v>34</v>
      </c>
      <c r="B61" t="s">
        <v>86</v>
      </c>
      <c r="C61" s="262"/>
      <c r="D61" s="220">
        <v>0</v>
      </c>
    </row>
    <row r="62" spans="1:6">
      <c r="A62" s="279" t="s">
        <v>36</v>
      </c>
      <c r="B62" s="280" t="s">
        <v>192</v>
      </c>
      <c r="C62" s="196"/>
      <c r="D62" s="196">
        <f>TRUNC(((((($D$25+$D$26+$D$28+$D$29)/220)*1.5)*(365/12))/2),2)</f>
        <v>116.55</v>
      </c>
      <c r="F62" s="280"/>
    </row>
    <row r="63" spans="1:4">
      <c r="A63" s="261" t="s">
        <v>39</v>
      </c>
      <c r="B63" s="265" t="s">
        <v>193</v>
      </c>
      <c r="C63" s="262" t="str">
        <f>C60</f>
        <v>CCT PB000047/2021</v>
      </c>
      <c r="D63" s="220">
        <v>15</v>
      </c>
    </row>
    <row r="64" spans="1:4">
      <c r="A64" s="261" t="s">
        <v>41</v>
      </c>
      <c r="B64" s="281" t="s">
        <v>194</v>
      </c>
      <c r="C64" s="196" t="str">
        <f>C60</f>
        <v>CCT PB000047/2021</v>
      </c>
      <c r="D64" s="220">
        <v>5</v>
      </c>
    </row>
    <row r="65" spans="1:4">
      <c r="A65" s="261" t="s">
        <v>44</v>
      </c>
      <c r="D65" s="267">
        <f>TRUNC((SUM(D59:D64)),2)</f>
        <v>453.35</v>
      </c>
    </row>
    <row r="66" spans="1:4">
      <c r="A66" s="261"/>
      <c r="D66" s="267"/>
    </row>
    <row r="67" spans="1:4">
      <c r="A67" s="260" t="s">
        <v>91</v>
      </c>
      <c r="B67" s="260"/>
      <c r="C67" s="260"/>
      <c r="D67" s="260"/>
    </row>
    <row r="68" spans="1:4">
      <c r="A68" s="261" t="s">
        <v>92</v>
      </c>
      <c r="B68" s="265" t="s">
        <v>93</v>
      </c>
      <c r="C68" s="261" t="s">
        <v>4</v>
      </c>
      <c r="D68" s="261" t="s">
        <v>5</v>
      </c>
    </row>
    <row r="69" spans="1:4">
      <c r="A69" s="261" t="s">
        <v>51</v>
      </c>
      <c r="B69" t="s">
        <v>52</v>
      </c>
      <c r="C69" s="261"/>
      <c r="D69" s="267">
        <f>D39</f>
        <v>218.54</v>
      </c>
    </row>
    <row r="70" spans="1:4">
      <c r="A70" s="261" t="s">
        <v>64</v>
      </c>
      <c r="B70" t="s">
        <v>65</v>
      </c>
      <c r="C70" s="261"/>
      <c r="D70" s="267">
        <f>D55</f>
        <v>534.29</v>
      </c>
    </row>
    <row r="71" spans="1:4">
      <c r="A71" s="261" t="s">
        <v>82</v>
      </c>
      <c r="B71" t="s">
        <v>83</v>
      </c>
      <c r="C71" s="261"/>
      <c r="D71" s="267">
        <f>D65</f>
        <v>453.35</v>
      </c>
    </row>
    <row r="72" spans="1:4">
      <c r="A72" s="261" t="s">
        <v>44</v>
      </c>
      <c r="C72" s="261"/>
      <c r="D72" s="267">
        <f>TRUNC((SUM(D69:D71)),2)</f>
        <v>1206.18</v>
      </c>
    </row>
    <row r="74" spans="1:4">
      <c r="A74" s="244" t="s">
        <v>94</v>
      </c>
      <c r="B74" s="244"/>
      <c r="C74" s="244"/>
      <c r="D74" s="244"/>
    </row>
    <row r="75" spans="1:4">
      <c r="A75" s="261" t="s">
        <v>95</v>
      </c>
      <c r="B75" s="265" t="s">
        <v>96</v>
      </c>
      <c r="C75" s="261" t="s">
        <v>24</v>
      </c>
      <c r="D75" s="261" t="s">
        <v>5</v>
      </c>
    </row>
    <row r="76" spans="1:4">
      <c r="A76" s="261" t="s">
        <v>28</v>
      </c>
      <c r="B76" t="s">
        <v>97</v>
      </c>
      <c r="C76" s="277">
        <f>((1/12)*5%)</f>
        <v>0.00416666666666667</v>
      </c>
      <c r="D76" s="220">
        <f t="shared" ref="D76:D79" si="1">TRUNC(($D$31*C76),2)</f>
        <v>4.68</v>
      </c>
    </row>
    <row r="77" spans="1:4">
      <c r="A77" s="261" t="s">
        <v>31</v>
      </c>
      <c r="B77" t="s">
        <v>98</v>
      </c>
      <c r="C77" s="282">
        <v>0.08</v>
      </c>
      <c r="D77" s="267">
        <f>TRUNC(($D$76*C77),2)</f>
        <v>0.37</v>
      </c>
    </row>
    <row r="78" ht="30" spans="1:4">
      <c r="A78" s="261" t="s">
        <v>34</v>
      </c>
      <c r="B78" s="283" t="s">
        <v>99</v>
      </c>
      <c r="C78" s="284">
        <f>(0.08*0.4*0.05)</f>
        <v>0.0016</v>
      </c>
      <c r="D78" s="196">
        <f t="shared" si="1"/>
        <v>1.79</v>
      </c>
    </row>
    <row r="79" spans="1:4">
      <c r="A79" s="261" t="s">
        <v>36</v>
      </c>
      <c r="B79" t="s">
        <v>100</v>
      </c>
      <c r="C79" s="285">
        <f>(((7/30)/12)*0.95)</f>
        <v>0.0184722222222222</v>
      </c>
      <c r="D79" s="286">
        <f t="shared" si="1"/>
        <v>20.76</v>
      </c>
    </row>
    <row r="80" ht="30" spans="1:4">
      <c r="A80" s="261" t="s">
        <v>39</v>
      </c>
      <c r="B80" s="283" t="s">
        <v>195</v>
      </c>
      <c r="C80" s="284">
        <f>C55</f>
        <v>0.398</v>
      </c>
      <c r="D80" s="196">
        <f>TRUNC(($D$79*C80),2)</f>
        <v>8.26</v>
      </c>
    </row>
    <row r="81" ht="30" spans="1:4">
      <c r="A81" s="261" t="s">
        <v>41</v>
      </c>
      <c r="B81" s="283" t="s">
        <v>101</v>
      </c>
      <c r="C81" s="284">
        <f>(0.08*0.4*0.95)</f>
        <v>0.0304</v>
      </c>
      <c r="D81" s="196">
        <f>TRUNC(($D$31*C81),2)</f>
        <v>34.16</v>
      </c>
    </row>
    <row r="82" spans="1:4">
      <c r="A82" s="261" t="s">
        <v>44</v>
      </c>
      <c r="C82" s="282">
        <f>SUM(C76:C81)</f>
        <v>0.532638888888889</v>
      </c>
      <c r="D82" s="267">
        <f>TRUNC((SUM(D76:D81)),2)</f>
        <v>70.02</v>
      </c>
    </row>
    <row r="83" ht="15.75" spans="1:4">
      <c r="A83" s="261"/>
      <c r="D83" s="267"/>
    </row>
    <row r="84" ht="16.5" spans="1:4">
      <c r="A84" s="271" t="s">
        <v>196</v>
      </c>
      <c r="B84" s="271"/>
      <c r="C84" s="272" t="s">
        <v>188</v>
      </c>
      <c r="D84" s="273">
        <f>D31</f>
        <v>1124</v>
      </c>
    </row>
    <row r="85" ht="16.5" spans="1:4">
      <c r="A85" s="271"/>
      <c r="B85" s="271"/>
      <c r="C85" s="274" t="s">
        <v>197</v>
      </c>
      <c r="D85" s="273">
        <f>D72</f>
        <v>1206.18</v>
      </c>
    </row>
    <row r="86" ht="16.5" spans="1:4">
      <c r="A86" s="271"/>
      <c r="B86" s="271"/>
      <c r="C86" s="272" t="s">
        <v>198</v>
      </c>
      <c r="D86" s="273">
        <f>D82</f>
        <v>70.02</v>
      </c>
    </row>
    <row r="87" ht="16.5" spans="1:4">
      <c r="A87" s="271"/>
      <c r="B87" s="271"/>
      <c r="C87" s="274" t="s">
        <v>190</v>
      </c>
      <c r="D87" s="275">
        <f>TRUNC((SUM(D84:D86)),2)</f>
        <v>2400.2</v>
      </c>
    </row>
    <row r="88" ht="15.75" spans="1:4">
      <c r="A88" s="261"/>
      <c r="D88" s="267"/>
    </row>
    <row r="89" spans="1:4">
      <c r="A89" s="287" t="s">
        <v>113</v>
      </c>
      <c r="B89" s="287"/>
      <c r="C89" s="287"/>
      <c r="D89" s="287"/>
    </row>
    <row r="90" spans="1:4">
      <c r="A90" s="260" t="s">
        <v>114</v>
      </c>
      <c r="B90" s="260"/>
      <c r="C90" s="260"/>
      <c r="D90" s="260"/>
    </row>
    <row r="91" spans="1:4">
      <c r="A91" s="261" t="s">
        <v>115</v>
      </c>
      <c r="B91" s="265" t="s">
        <v>116</v>
      </c>
      <c r="C91" s="261" t="s">
        <v>24</v>
      </c>
      <c r="D91" s="261" t="s">
        <v>5</v>
      </c>
    </row>
    <row r="92" spans="1:4">
      <c r="A92" s="261" t="s">
        <v>28</v>
      </c>
      <c r="B92" t="s">
        <v>199</v>
      </c>
      <c r="C92" s="282">
        <f>(((1+1/3)/12)/12)+((1/12)/12)</f>
        <v>0.0162037037037037</v>
      </c>
      <c r="D92" s="267">
        <f t="shared" ref="D92:D96" si="2">TRUNC(($D$87*C92),2)</f>
        <v>38.89</v>
      </c>
    </row>
    <row r="93" spans="1:4">
      <c r="A93" s="261" t="s">
        <v>31</v>
      </c>
      <c r="B93" t="s">
        <v>119</v>
      </c>
      <c r="C93" s="277">
        <f>((2/30)/12)</f>
        <v>0.00555555555555556</v>
      </c>
      <c r="D93" s="196">
        <f t="shared" si="2"/>
        <v>13.33</v>
      </c>
    </row>
    <row r="94" spans="1:4">
      <c r="A94" s="261" t="s">
        <v>34</v>
      </c>
      <c r="B94" t="s">
        <v>120</v>
      </c>
      <c r="C94" s="277">
        <f>((5/30)/12)*0.02</f>
        <v>0.000277777777777778</v>
      </c>
      <c r="D94" s="196">
        <f t="shared" si="2"/>
        <v>0.66</v>
      </c>
    </row>
    <row r="95" spans="1:4">
      <c r="A95" s="279" t="s">
        <v>36</v>
      </c>
      <c r="B95" s="283" t="s">
        <v>121</v>
      </c>
      <c r="C95" s="284">
        <f>((15/30)/12)*0.08</f>
        <v>0.00333333333333333</v>
      </c>
      <c r="D95" s="196">
        <f t="shared" si="2"/>
        <v>8</v>
      </c>
    </row>
    <row r="96" spans="1:4">
      <c r="A96" s="261" t="s">
        <v>39</v>
      </c>
      <c r="B96" t="s">
        <v>122</v>
      </c>
      <c r="C96" s="277">
        <f>((1+1/3)/12)*0.03*((4/12))</f>
        <v>0.00111111111111111</v>
      </c>
      <c r="D96" s="196">
        <f t="shared" si="2"/>
        <v>2.66</v>
      </c>
    </row>
    <row r="97" spans="1:4">
      <c r="A97" s="261" t="s">
        <v>41</v>
      </c>
      <c r="B97" s="283" t="s">
        <v>200</v>
      </c>
      <c r="C97" s="288">
        <v>0</v>
      </c>
      <c r="D97" s="196">
        <f>TRUNC($D$87*C97)</f>
        <v>0</v>
      </c>
    </row>
    <row r="98" spans="1:4">
      <c r="A98" s="261" t="s">
        <v>44</v>
      </c>
      <c r="C98" s="282">
        <f>SUM(C92:C97)</f>
        <v>0.0264814814814815</v>
      </c>
      <c r="D98" s="267">
        <f>TRUNC((SUM(D92:D97)),2)</f>
        <v>63.54</v>
      </c>
    </row>
    <row r="99" spans="1:4">
      <c r="A99" s="261"/>
      <c r="C99" s="261"/>
      <c r="D99" s="267"/>
    </row>
    <row r="100" spans="1:4">
      <c r="A100" s="260" t="s">
        <v>130</v>
      </c>
      <c r="B100" s="260"/>
      <c r="C100" s="260"/>
      <c r="D100" s="260"/>
    </row>
    <row r="101" spans="1:4">
      <c r="A101" s="261" t="s">
        <v>131</v>
      </c>
      <c r="B101" s="265" t="s">
        <v>132</v>
      </c>
      <c r="C101" s="261" t="s">
        <v>4</v>
      </c>
      <c r="D101" s="261" t="s">
        <v>5</v>
      </c>
    </row>
    <row r="102" ht="90" spans="1:4">
      <c r="A102" s="279" t="s">
        <v>28</v>
      </c>
      <c r="B102" s="289" t="s">
        <v>133</v>
      </c>
      <c r="C102" s="207" t="s">
        <v>201</v>
      </c>
      <c r="D102" s="208" t="s">
        <v>202</v>
      </c>
    </row>
    <row r="103" spans="1:4">
      <c r="A103" s="261" t="s">
        <v>44</v>
      </c>
      <c r="C103" s="261"/>
      <c r="D103" s="209" t="str">
        <f>D102</f>
        <v>*=TRUNCAR(($D$86/220)*(1*(365/12))/2)</v>
      </c>
    </row>
    <row r="105" spans="1:4">
      <c r="A105" s="260" t="s">
        <v>134</v>
      </c>
      <c r="B105" s="260"/>
      <c r="C105" s="260"/>
      <c r="D105" s="260"/>
    </row>
    <row r="106" spans="1:4">
      <c r="A106" s="261" t="s">
        <v>135</v>
      </c>
      <c r="B106" s="265" t="s">
        <v>136</v>
      </c>
      <c r="C106" s="261" t="s">
        <v>4</v>
      </c>
      <c r="D106" s="261" t="s">
        <v>5</v>
      </c>
    </row>
    <row r="107" spans="1:4">
      <c r="A107" s="261" t="s">
        <v>115</v>
      </c>
      <c r="B107" t="s">
        <v>116</v>
      </c>
      <c r="D107" s="220">
        <f>D98</f>
        <v>63.54</v>
      </c>
    </row>
    <row r="108" spans="1:4">
      <c r="A108" s="261" t="s">
        <v>131</v>
      </c>
      <c r="B108" t="s">
        <v>137</v>
      </c>
      <c r="C108" s="265"/>
      <c r="D108" s="291" t="str">
        <f>Submódulo4.260_55[[#Totals],[Valor]]</f>
        <v>*=TRUNCAR(($D$86/220)*(1*(365/12))/2)</v>
      </c>
    </row>
    <row r="109" ht="60" spans="1:4">
      <c r="A109" s="279" t="s">
        <v>44</v>
      </c>
      <c r="B109" s="280"/>
      <c r="C109" s="207" t="s">
        <v>203</v>
      </c>
      <c r="D109" s="292">
        <f>TRUNC((SUM(D107:D108)),2)</f>
        <v>63.54</v>
      </c>
    </row>
    <row r="111" spans="1:4">
      <c r="A111" s="244" t="s">
        <v>138</v>
      </c>
      <c r="B111" s="244"/>
      <c r="C111" s="244"/>
      <c r="D111" s="244"/>
    </row>
    <row r="112" spans="1:4">
      <c r="A112" s="279" t="s">
        <v>139</v>
      </c>
      <c r="B112" s="280" t="s">
        <v>140</v>
      </c>
      <c r="C112" s="279" t="s">
        <v>4</v>
      </c>
      <c r="D112" s="279" t="s">
        <v>5</v>
      </c>
    </row>
    <row r="113" spans="1:4">
      <c r="A113" s="261" t="s">
        <v>28</v>
      </c>
      <c r="B113" t="s">
        <v>204</v>
      </c>
      <c r="C113" s="85"/>
      <c r="D113" s="180">
        <f>Uniformes!G24</f>
        <v>71.61</v>
      </c>
    </row>
    <row r="114" spans="1:4">
      <c r="A114" s="261" t="s">
        <v>31</v>
      </c>
      <c r="B114" s="85" t="s">
        <v>205</v>
      </c>
      <c r="C114" s="85"/>
      <c r="D114" s="180">
        <f>EPC!E21</f>
        <v>8.97</v>
      </c>
    </row>
    <row r="115" spans="1:4">
      <c r="A115" s="261" t="s">
        <v>34</v>
      </c>
      <c r="B115" s="85" t="s">
        <v>142</v>
      </c>
      <c r="C115" s="85"/>
      <c r="D115" s="180">
        <f>'Materiais e Equipamentos'!G6</f>
        <v>4.75</v>
      </c>
    </row>
    <row r="116" spans="1:4">
      <c r="A116" s="261" t="s">
        <v>36</v>
      </c>
      <c r="B116" s="85" t="s">
        <v>143</v>
      </c>
      <c r="C116" s="85"/>
      <c r="D116" s="180">
        <v>0</v>
      </c>
    </row>
    <row r="117" spans="1:4">
      <c r="A117" s="261" t="s">
        <v>39</v>
      </c>
      <c r="B117" s="85" t="s">
        <v>206</v>
      </c>
      <c r="C117" s="85"/>
      <c r="D117" s="180">
        <f>H116</f>
        <v>0</v>
      </c>
    </row>
    <row r="118" spans="1:4">
      <c r="A118" s="261" t="s">
        <v>44</v>
      </c>
      <c r="D118" s="267">
        <f>TRUNC(SUM(D113:D117),2)</f>
        <v>85.33</v>
      </c>
    </row>
    <row r="119" ht="15.75"/>
    <row r="120" ht="16.5" spans="1:4">
      <c r="A120" s="271" t="s">
        <v>207</v>
      </c>
      <c r="B120" s="271"/>
      <c r="C120" s="272" t="s">
        <v>188</v>
      </c>
      <c r="D120" s="273">
        <f>D31</f>
        <v>1124</v>
      </c>
    </row>
    <row r="121" ht="16.5" spans="1:4">
      <c r="A121" s="271"/>
      <c r="B121" s="271"/>
      <c r="C121" s="274" t="s">
        <v>197</v>
      </c>
      <c r="D121" s="273">
        <f>D72</f>
        <v>1206.18</v>
      </c>
    </row>
    <row r="122" ht="16.5" spans="1:4">
      <c r="A122" s="271"/>
      <c r="B122" s="271"/>
      <c r="C122" s="272" t="s">
        <v>198</v>
      </c>
      <c r="D122" s="273">
        <f>D82</f>
        <v>70.02</v>
      </c>
    </row>
    <row r="123" ht="16.5" spans="1:4">
      <c r="A123" s="271"/>
      <c r="B123" s="271"/>
      <c r="C123" s="274" t="s">
        <v>208</v>
      </c>
      <c r="D123" s="273">
        <f>D109</f>
        <v>63.54</v>
      </c>
    </row>
    <row r="124" ht="16.5" spans="1:4">
      <c r="A124" s="271"/>
      <c r="B124" s="271"/>
      <c r="C124" s="272" t="s">
        <v>209</v>
      </c>
      <c r="D124" s="273">
        <f>D118</f>
        <v>85.33</v>
      </c>
    </row>
    <row r="125" ht="16.5" spans="1:4">
      <c r="A125" s="271"/>
      <c r="B125" s="271"/>
      <c r="C125" s="274" t="s">
        <v>190</v>
      </c>
      <c r="D125" s="275">
        <f>TRUNC((SUM(D120:D124)),2)</f>
        <v>2549.07</v>
      </c>
    </row>
    <row r="126" ht="15.75"/>
    <row r="127" spans="1:4">
      <c r="A127" s="244" t="s">
        <v>150</v>
      </c>
      <c r="B127" s="244"/>
      <c r="C127" s="244"/>
      <c r="D127" s="244"/>
    </row>
    <row r="128" ht="15.75" spans="1:7">
      <c r="A128" s="261" t="s">
        <v>151</v>
      </c>
      <c r="B128" t="s">
        <v>152</v>
      </c>
      <c r="C128" s="261" t="s">
        <v>24</v>
      </c>
      <c r="D128" s="261" t="s">
        <v>5</v>
      </c>
      <c r="F128" s="221" t="s">
        <v>210</v>
      </c>
      <c r="G128" s="221"/>
    </row>
    <row r="129" ht="15.75" spans="1:7">
      <c r="A129" s="261" t="s">
        <v>28</v>
      </c>
      <c r="B129" t="s">
        <v>153</v>
      </c>
      <c r="C129" s="193">
        <v>0.044</v>
      </c>
      <c r="D129" s="180">
        <f>TRUNC(($D$125*C129),2)</f>
        <v>112.15</v>
      </c>
      <c r="F129" s="223" t="s">
        <v>211</v>
      </c>
      <c r="G129" s="284">
        <f>C131</f>
        <v>0.0865</v>
      </c>
    </row>
    <row r="130" ht="15.75" spans="1:7">
      <c r="A130" s="261" t="s">
        <v>31</v>
      </c>
      <c r="B130" t="s">
        <v>45</v>
      </c>
      <c r="C130" s="193">
        <v>0.0413</v>
      </c>
      <c r="D130" s="180">
        <f>TRUNC((C130*(D125+D129)),2)</f>
        <v>109.9</v>
      </c>
      <c r="F130" s="293" t="s">
        <v>212</v>
      </c>
      <c r="G130" s="294">
        <f>TRUNC(SUM(D125,D129,D130),2)</f>
        <v>2771.12</v>
      </c>
    </row>
    <row r="131" ht="15.75" spans="1:7">
      <c r="A131" s="261" t="s">
        <v>34</v>
      </c>
      <c r="B131" t="s">
        <v>154</v>
      </c>
      <c r="C131" s="193">
        <f>SUM(C132:C134)</f>
        <v>0.0865</v>
      </c>
      <c r="D131" s="180">
        <f>TRUNC((SUM(D132:D134)),2)</f>
        <v>262.38</v>
      </c>
      <c r="F131" s="223" t="s">
        <v>213</v>
      </c>
      <c r="G131" s="295">
        <f>(100-8.65)/100</f>
        <v>0.9135</v>
      </c>
    </row>
    <row r="132" ht="15.75" spans="1:7">
      <c r="A132" s="261"/>
      <c r="B132" t="s">
        <v>214</v>
      </c>
      <c r="C132" s="277">
        <v>0.0065</v>
      </c>
      <c r="D132" s="220">
        <f t="shared" ref="D132:D134" si="3">TRUNC(($G$132*C132),2)</f>
        <v>19.71</v>
      </c>
      <c r="F132" s="293" t="s">
        <v>210</v>
      </c>
      <c r="G132" s="294">
        <f>TRUNC((G130/G131),2)</f>
        <v>3033.51</v>
      </c>
    </row>
    <row r="133" ht="15.75" spans="1:4">
      <c r="A133" s="261"/>
      <c r="B133" t="s">
        <v>215</v>
      </c>
      <c r="C133" s="277">
        <v>0.03</v>
      </c>
      <c r="D133" s="220">
        <f t="shared" si="3"/>
        <v>91</v>
      </c>
    </row>
    <row r="134" spans="1:4">
      <c r="A134" s="261"/>
      <c r="B134" t="s">
        <v>216</v>
      </c>
      <c r="C134" s="277">
        <v>0.05</v>
      </c>
      <c r="D134" s="220">
        <f t="shared" si="3"/>
        <v>151.67</v>
      </c>
    </row>
    <row r="135" spans="1:4">
      <c r="A135" s="261" t="s">
        <v>44</v>
      </c>
      <c r="C135" s="296"/>
      <c r="D135" s="267">
        <f>TRUNC(SUM(D129:D131),2)</f>
        <v>484.43</v>
      </c>
    </row>
    <row r="136" spans="1:4">
      <c r="A136" s="261"/>
      <c r="C136" s="296"/>
      <c r="D136" s="267"/>
    </row>
    <row r="138" spans="1:4">
      <c r="A138" s="244" t="s">
        <v>158</v>
      </c>
      <c r="B138" s="244"/>
      <c r="C138" s="244"/>
      <c r="D138" s="244"/>
    </row>
    <row r="139" spans="1:4">
      <c r="A139" s="261" t="s">
        <v>2</v>
      </c>
      <c r="B139" s="261" t="s">
        <v>159</v>
      </c>
      <c r="C139" s="261" t="s">
        <v>88</v>
      </c>
      <c r="D139" s="261" t="s">
        <v>5</v>
      </c>
    </row>
    <row r="140" spans="1:4">
      <c r="A140" s="261" t="s">
        <v>28</v>
      </c>
      <c r="B140" t="s">
        <v>22</v>
      </c>
      <c r="D140" s="267">
        <f>D31</f>
        <v>1124</v>
      </c>
    </row>
    <row r="141" spans="1:4">
      <c r="A141" s="261" t="s">
        <v>31</v>
      </c>
      <c r="B141" t="s">
        <v>47</v>
      </c>
      <c r="D141" s="267">
        <f>D72</f>
        <v>1206.18</v>
      </c>
    </row>
    <row r="142" spans="1:4">
      <c r="A142" s="261" t="s">
        <v>34</v>
      </c>
      <c r="B142" t="s">
        <v>94</v>
      </c>
      <c r="D142" s="267">
        <f>D82</f>
        <v>70.02</v>
      </c>
    </row>
    <row r="143" spans="1:4">
      <c r="A143" s="261" t="s">
        <v>36</v>
      </c>
      <c r="B143" t="s">
        <v>160</v>
      </c>
      <c r="D143" s="267">
        <f>D109</f>
        <v>63.54</v>
      </c>
    </row>
    <row r="144" spans="1:4">
      <c r="A144" s="261" t="s">
        <v>39</v>
      </c>
      <c r="B144" t="s">
        <v>138</v>
      </c>
      <c r="D144" s="267">
        <f>D118</f>
        <v>85.33</v>
      </c>
    </row>
    <row r="145" spans="2:4">
      <c r="B145" s="297" t="s">
        <v>161</v>
      </c>
      <c r="D145" s="267">
        <f>TRUNC(SUM(D140:D144),2)</f>
        <v>2549.07</v>
      </c>
    </row>
    <row r="146" spans="1:4">
      <c r="A146" s="261" t="s">
        <v>41</v>
      </c>
      <c r="B146" t="s">
        <v>150</v>
      </c>
      <c r="D146" s="267">
        <f>D135</f>
        <v>484.43</v>
      </c>
    </row>
    <row r="147" spans="1:4">
      <c r="A147" s="298"/>
      <c r="B147" s="299" t="s">
        <v>217</v>
      </c>
      <c r="C147" s="298"/>
      <c r="D147" s="300">
        <f>TRUNC((SUM(D140:D144)+D146),2)</f>
        <v>3033.5</v>
      </c>
    </row>
    <row r="148" spans="1:4">
      <c r="A148" s="303"/>
      <c r="B148" s="304" t="s">
        <v>222</v>
      </c>
      <c r="C148" s="303"/>
      <c r="D148" s="305">
        <f>TRUNC(D147*2,2)</f>
        <v>6067</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49"/>
  <sheetViews>
    <sheetView topLeftCell="A132" workbookViewId="0">
      <selection activeCell="A2" sqref="A2:D147"/>
    </sheetView>
  </sheetViews>
  <sheetFormatPr defaultColWidth="9.14285714285714" defaultRowHeight="15" outlineLevelCol="6"/>
  <cols>
    <col min="1" max="1" width="10.8571428571429" customWidth="1"/>
    <col min="2" max="2" width="59" customWidth="1"/>
    <col min="3" max="3" width="24" customWidth="1"/>
    <col min="4" max="4" width="37" customWidth="1"/>
    <col min="6" max="6" width="22.8571428571429" customWidth="1"/>
    <col min="7" max="7" width="13.647619047619" customWidth="1"/>
    <col min="8" max="8" width="10.952380952381" customWidth="1"/>
    <col min="9" max="9" width="11.4285714285714" customWidth="1"/>
  </cols>
  <sheetData>
    <row r="2" ht="19.5" spans="1:4">
      <c r="A2" s="237" t="s">
        <v>163</v>
      </c>
      <c r="B2" s="237"/>
      <c r="C2" s="237"/>
      <c r="D2" s="237"/>
    </row>
    <row r="3" ht="15.75" spans="1:4">
      <c r="A3" s="238" t="s">
        <v>164</v>
      </c>
      <c r="B3" s="238"/>
      <c r="C3" s="238"/>
      <c r="D3" s="238"/>
    </row>
    <row r="4" spans="1:4">
      <c r="A4" s="239" t="s">
        <v>165</v>
      </c>
      <c r="B4" s="240" t="s">
        <v>166</v>
      </c>
      <c r="C4" s="241"/>
      <c r="D4" s="241"/>
    </row>
    <row r="5" spans="1:4">
      <c r="A5" s="242"/>
      <c r="B5" s="243"/>
      <c r="C5" s="243"/>
      <c r="D5" s="243"/>
    </row>
    <row r="6" ht="15.75" spans="1:4">
      <c r="A6" s="244" t="s">
        <v>167</v>
      </c>
      <c r="B6" s="244"/>
      <c r="C6" s="244"/>
      <c r="D6" s="244"/>
    </row>
    <row r="7" ht="15.75" spans="1:4">
      <c r="A7" s="245" t="s">
        <v>28</v>
      </c>
      <c r="B7" s="246" t="s">
        <v>168</v>
      </c>
      <c r="C7" s="247" t="s">
        <v>169</v>
      </c>
      <c r="D7" s="247"/>
    </row>
    <row r="8" spans="1:4">
      <c r="A8" s="248" t="s">
        <v>31</v>
      </c>
      <c r="B8" s="249" t="s">
        <v>170</v>
      </c>
      <c r="C8" s="250" t="s">
        <v>171</v>
      </c>
      <c r="D8" s="250"/>
    </row>
    <row r="9" spans="1:4">
      <c r="A9" s="251" t="s">
        <v>34</v>
      </c>
      <c r="B9" s="252" t="s">
        <v>172</v>
      </c>
      <c r="C9" s="250" t="s">
        <v>223</v>
      </c>
      <c r="D9" s="250"/>
    </row>
    <row r="10" spans="1:4">
      <c r="A10" s="248" t="s">
        <v>39</v>
      </c>
      <c r="B10" s="249" t="s">
        <v>174</v>
      </c>
      <c r="C10" s="250" t="s">
        <v>175</v>
      </c>
      <c r="D10" s="250"/>
    </row>
    <row r="11" ht="15.75" spans="1:4">
      <c r="A11" s="253" t="s">
        <v>176</v>
      </c>
      <c r="B11" s="253"/>
      <c r="C11" s="253"/>
      <c r="D11" s="253"/>
    </row>
    <row r="12" ht="16.5" spans="1:4">
      <c r="A12" s="254" t="s">
        <v>177</v>
      </c>
      <c r="B12" s="254"/>
      <c r="C12" s="253" t="s">
        <v>178</v>
      </c>
      <c r="D12" s="255" t="s">
        <v>179</v>
      </c>
    </row>
    <row r="13" ht="15.75" spans="1:4">
      <c r="A13" s="256" t="s">
        <v>224</v>
      </c>
      <c r="B13" s="256"/>
      <c r="C13" s="250" t="s">
        <v>181</v>
      </c>
      <c r="D13" s="257">
        <f>RESUMO!D5</f>
        <v>2</v>
      </c>
    </row>
    <row r="14" spans="1:4">
      <c r="A14" s="258"/>
      <c r="B14" s="258"/>
      <c r="C14" s="250"/>
      <c r="D14" s="259"/>
    </row>
    <row r="15" ht="15.75" spans="1:7">
      <c r="A15" s="253" t="s">
        <v>0</v>
      </c>
      <c r="B15" s="253"/>
      <c r="C15" s="253"/>
      <c r="D15" s="253"/>
      <c r="F15" s="260"/>
      <c r="G15" s="260"/>
    </row>
    <row r="16" ht="15.75" spans="1:4">
      <c r="A16" s="261" t="s">
        <v>2</v>
      </c>
      <c r="B16" t="s">
        <v>3</v>
      </c>
      <c r="C16" s="261" t="s">
        <v>4</v>
      </c>
      <c r="D16" s="261" t="s">
        <v>5</v>
      </c>
    </row>
    <row r="17" spans="1:4">
      <c r="A17" s="261">
        <v>1</v>
      </c>
      <c r="B17" t="s">
        <v>6</v>
      </c>
      <c r="C17" s="262" t="s">
        <v>88</v>
      </c>
      <c r="D17" s="262" t="str">
        <f>A13</f>
        <v>Motorista Interestadual</v>
      </c>
    </row>
    <row r="18" spans="1:4">
      <c r="A18" s="261">
        <v>2</v>
      </c>
      <c r="B18" t="s">
        <v>9</v>
      </c>
      <c r="C18" s="262" t="s">
        <v>182</v>
      </c>
      <c r="D18" s="262" t="s">
        <v>225</v>
      </c>
    </row>
    <row r="19" spans="1:4">
      <c r="A19" s="261">
        <v>3</v>
      </c>
      <c r="B19" t="s">
        <v>12</v>
      </c>
      <c r="C19" s="262" t="str">
        <f>C9</f>
        <v>CCT PB000035/2019*</v>
      </c>
      <c r="D19" s="220">
        <v>2629</v>
      </c>
    </row>
    <row r="20" spans="1:4">
      <c r="A20" s="261">
        <v>4</v>
      </c>
      <c r="B20" t="s">
        <v>15</v>
      </c>
      <c r="C20" s="262" t="str">
        <f>C9</f>
        <v>CCT PB000035/2019*</v>
      </c>
      <c r="D20" s="263" t="s">
        <v>226</v>
      </c>
    </row>
    <row r="21" spans="1:4">
      <c r="A21" s="261">
        <v>5</v>
      </c>
      <c r="B21" t="s">
        <v>19</v>
      </c>
      <c r="C21" s="262" t="str">
        <f>C9</f>
        <v>CCT PB000035/2019*</v>
      </c>
      <c r="D21" s="264" t="s">
        <v>185</v>
      </c>
    </row>
    <row r="22" spans="6:7">
      <c r="F22" s="260"/>
      <c r="G22" s="260"/>
    </row>
    <row r="23" spans="1:4">
      <c r="A23" s="244" t="s">
        <v>22</v>
      </c>
      <c r="B23" s="244"/>
      <c r="C23" s="244"/>
      <c r="D23" s="244"/>
    </row>
    <row r="24" spans="1:7">
      <c r="A24" s="261" t="s">
        <v>25</v>
      </c>
      <c r="B24" s="265" t="s">
        <v>26</v>
      </c>
      <c r="C24" s="261" t="s">
        <v>4</v>
      </c>
      <c r="D24" s="261" t="s">
        <v>5</v>
      </c>
      <c r="G24" s="266"/>
    </row>
    <row r="25" spans="1:7">
      <c r="A25" s="261" t="s">
        <v>28</v>
      </c>
      <c r="B25" t="s">
        <v>29</v>
      </c>
      <c r="C25" s="263" t="str">
        <f>C9</f>
        <v>CCT PB000035/2019*</v>
      </c>
      <c r="D25" s="220">
        <f>D19</f>
        <v>2629</v>
      </c>
      <c r="G25" s="266"/>
    </row>
    <row r="26" spans="1:7">
      <c r="A26" s="261" t="s">
        <v>31</v>
      </c>
      <c r="B26" t="s">
        <v>32</v>
      </c>
      <c r="C26" s="263"/>
      <c r="D26" s="220">
        <v>0</v>
      </c>
      <c r="G26" s="266"/>
    </row>
    <row r="27" spans="1:4">
      <c r="A27" s="261" t="s">
        <v>34</v>
      </c>
      <c r="B27" t="s">
        <v>35</v>
      </c>
      <c r="C27" s="263"/>
      <c r="D27" s="220">
        <v>0</v>
      </c>
    </row>
    <row r="28" spans="1:4">
      <c r="A28" s="261" t="s">
        <v>36</v>
      </c>
      <c r="B28" t="s">
        <v>37</v>
      </c>
      <c r="C28" s="263"/>
      <c r="D28" s="220">
        <v>0</v>
      </c>
    </row>
    <row r="29" spans="1:4">
      <c r="A29" s="261" t="s">
        <v>39</v>
      </c>
      <c r="B29" t="s">
        <v>40</v>
      </c>
      <c r="C29" s="263"/>
      <c r="D29" s="220">
        <v>0</v>
      </c>
    </row>
    <row r="30" spans="1:4">
      <c r="A30" s="261" t="s">
        <v>41</v>
      </c>
      <c r="B30" t="s">
        <v>42</v>
      </c>
      <c r="C30" s="263"/>
      <c r="D30" s="220">
        <v>0</v>
      </c>
    </row>
    <row r="31" spans="1:7">
      <c r="A31" s="261" t="s">
        <v>44</v>
      </c>
      <c r="C31" s="261"/>
      <c r="D31" s="267">
        <f>TRUNC(SUM(D25:D30),2)</f>
        <v>2629</v>
      </c>
      <c r="F31" s="260"/>
      <c r="G31" s="260"/>
    </row>
    <row r="33" spans="1:7">
      <c r="A33" s="268" t="s">
        <v>47</v>
      </c>
      <c r="B33" s="268"/>
      <c r="C33" s="268"/>
      <c r="D33" s="268"/>
      <c r="G33" s="266"/>
    </row>
    <row r="35" spans="1:4">
      <c r="A35" s="260" t="s">
        <v>49</v>
      </c>
      <c r="B35" s="260"/>
      <c r="C35" s="260"/>
      <c r="D35" s="260"/>
    </row>
    <row r="36" spans="1:4">
      <c r="A36" s="261" t="s">
        <v>51</v>
      </c>
      <c r="B36" s="265" t="s">
        <v>52</v>
      </c>
      <c r="C36" s="261" t="s">
        <v>24</v>
      </c>
      <c r="D36" s="261" t="s">
        <v>5</v>
      </c>
    </row>
    <row r="37" spans="1:7">
      <c r="A37" s="261" t="s">
        <v>28</v>
      </c>
      <c r="B37" t="s">
        <v>53</v>
      </c>
      <c r="C37" s="269">
        <f>(1/12)</f>
        <v>0.0833333333333333</v>
      </c>
      <c r="D37" s="267">
        <f>TRUNC($D$31*C37,2)</f>
        <v>219.08</v>
      </c>
      <c r="F37" s="270"/>
      <c r="G37" s="270"/>
    </row>
    <row r="38" spans="1:7">
      <c r="A38" s="261" t="s">
        <v>31</v>
      </c>
      <c r="B38" t="s">
        <v>54</v>
      </c>
      <c r="C38" s="269">
        <f>(((1+1/3)/12))</f>
        <v>0.111111111111111</v>
      </c>
      <c r="D38" s="267">
        <f>TRUNC($D$31*C38,2)</f>
        <v>292.11</v>
      </c>
      <c r="F38" s="270"/>
      <c r="G38" s="270"/>
    </row>
    <row r="39" spans="1:7">
      <c r="A39" s="261" t="s">
        <v>44</v>
      </c>
      <c r="D39" s="267">
        <f>TRUNC((SUM(D37:D38)),2)</f>
        <v>511.19</v>
      </c>
      <c r="F39" s="270"/>
      <c r="G39" s="270"/>
    </row>
    <row r="40" ht="15.75" spans="4:7">
      <c r="D40" s="267"/>
      <c r="F40" s="270"/>
      <c r="G40" s="270"/>
    </row>
    <row r="41" ht="16.5" spans="1:7">
      <c r="A41" s="271" t="s">
        <v>187</v>
      </c>
      <c r="B41" s="271"/>
      <c r="C41" s="272" t="s">
        <v>188</v>
      </c>
      <c r="D41" s="273">
        <f>D31</f>
        <v>2629</v>
      </c>
      <c r="F41" s="270"/>
      <c r="G41" s="270"/>
    </row>
    <row r="42" ht="16.5" spans="1:7">
      <c r="A42" s="271"/>
      <c r="B42" s="271"/>
      <c r="C42" s="274" t="s">
        <v>189</v>
      </c>
      <c r="D42" s="273">
        <f>D39</f>
        <v>511.19</v>
      </c>
      <c r="F42" s="270"/>
      <c r="G42" s="270"/>
    </row>
    <row r="43" ht="16.5" spans="1:7">
      <c r="A43" s="271"/>
      <c r="B43" s="271"/>
      <c r="C43" s="272" t="s">
        <v>190</v>
      </c>
      <c r="D43" s="275">
        <f>TRUNC((SUM(D41:D42)),2)</f>
        <v>3140.19</v>
      </c>
      <c r="F43" s="270"/>
      <c r="G43" s="270"/>
    </row>
    <row r="44" ht="15.75" spans="1:7">
      <c r="A44" s="261"/>
      <c r="C44" s="276"/>
      <c r="D44" s="267"/>
      <c r="F44" s="270"/>
      <c r="G44" s="270"/>
    </row>
    <row r="45" spans="1:4">
      <c r="A45" s="260" t="s">
        <v>63</v>
      </c>
      <c r="B45" s="260"/>
      <c r="C45" s="260"/>
      <c r="D45" s="260"/>
    </row>
    <row r="46" spans="1:4">
      <c r="A46" s="261" t="s">
        <v>64</v>
      </c>
      <c r="B46" s="265" t="s">
        <v>65</v>
      </c>
      <c r="C46" s="261" t="s">
        <v>24</v>
      </c>
      <c r="D46" s="261" t="s">
        <v>66</v>
      </c>
    </row>
    <row r="47" spans="1:4">
      <c r="A47" s="261" t="s">
        <v>28</v>
      </c>
      <c r="B47" t="s">
        <v>67</v>
      </c>
      <c r="C47" s="269">
        <v>0.2</v>
      </c>
      <c r="D47" s="267">
        <f t="shared" ref="D47:D54" si="0">TRUNC(($D$43*C47),2)</f>
        <v>628.03</v>
      </c>
    </row>
    <row r="48" spans="1:4">
      <c r="A48" s="261" t="s">
        <v>31</v>
      </c>
      <c r="B48" t="s">
        <v>68</v>
      </c>
      <c r="C48" s="269">
        <v>0.025</v>
      </c>
      <c r="D48" s="267">
        <f t="shared" si="0"/>
        <v>78.5</v>
      </c>
    </row>
    <row r="49" spans="1:4">
      <c r="A49" s="261" t="s">
        <v>34</v>
      </c>
      <c r="B49" t="s">
        <v>191</v>
      </c>
      <c r="C49" s="277">
        <v>0.06</v>
      </c>
      <c r="D49" s="220">
        <f t="shared" si="0"/>
        <v>188.41</v>
      </c>
    </row>
    <row r="50" spans="1:4">
      <c r="A50" s="261" t="s">
        <v>36</v>
      </c>
      <c r="B50" t="s">
        <v>70</v>
      </c>
      <c r="C50" s="269">
        <v>0.015</v>
      </c>
      <c r="D50" s="267">
        <f t="shared" si="0"/>
        <v>47.1</v>
      </c>
    </row>
    <row r="51" spans="1:4">
      <c r="A51" s="261" t="s">
        <v>39</v>
      </c>
      <c r="B51" t="s">
        <v>71</v>
      </c>
      <c r="C51" s="269">
        <v>0.01</v>
      </c>
      <c r="D51" s="267">
        <f t="shared" si="0"/>
        <v>31.4</v>
      </c>
    </row>
    <row r="52" spans="1:4">
      <c r="A52" s="261" t="s">
        <v>41</v>
      </c>
      <c r="B52" t="s">
        <v>72</v>
      </c>
      <c r="C52" s="269">
        <v>0.006</v>
      </c>
      <c r="D52" s="267">
        <f t="shared" si="0"/>
        <v>18.84</v>
      </c>
    </row>
    <row r="53" spans="1:4">
      <c r="A53" s="261" t="s">
        <v>73</v>
      </c>
      <c r="B53" t="s">
        <v>74</v>
      </c>
      <c r="C53" s="269">
        <v>0.002</v>
      </c>
      <c r="D53" s="267">
        <f t="shared" si="0"/>
        <v>6.28</v>
      </c>
    </row>
    <row r="54" spans="1:4">
      <c r="A54" s="261" t="s">
        <v>75</v>
      </c>
      <c r="B54" t="s">
        <v>76</v>
      </c>
      <c r="C54" s="269">
        <v>0.08</v>
      </c>
      <c r="D54" s="267">
        <f t="shared" si="0"/>
        <v>251.21</v>
      </c>
    </row>
    <row r="55" spans="1:4">
      <c r="A55" s="261" t="s">
        <v>44</v>
      </c>
      <c r="C55" s="276">
        <f>SUM(C47:C54)</f>
        <v>0.398</v>
      </c>
      <c r="D55" s="267">
        <f>TRUNC((SUM(D47:D54)),2)</f>
        <v>1249.77</v>
      </c>
    </row>
    <row r="56" spans="1:4">
      <c r="A56" s="261"/>
      <c r="C56" s="276"/>
      <c r="D56" s="267"/>
    </row>
    <row r="57" spans="1:4">
      <c r="A57" s="260" t="s">
        <v>81</v>
      </c>
      <c r="B57" s="260"/>
      <c r="C57" s="260"/>
      <c r="D57" s="260"/>
    </row>
    <row r="58" spans="1:4">
      <c r="A58" s="261" t="s">
        <v>82</v>
      </c>
      <c r="B58" s="265" t="s">
        <v>83</v>
      </c>
      <c r="C58" s="261" t="s">
        <v>4</v>
      </c>
      <c r="D58" s="261" t="s">
        <v>5</v>
      </c>
    </row>
    <row r="59" spans="1:4">
      <c r="A59" s="261" t="s">
        <v>28</v>
      </c>
      <c r="B59" t="s">
        <v>84</v>
      </c>
      <c r="C59" s="262"/>
      <c r="D59" s="278">
        <v>0</v>
      </c>
    </row>
    <row r="60" spans="1:4">
      <c r="A60" s="261" t="s">
        <v>31</v>
      </c>
      <c r="B60" t="s">
        <v>85</v>
      </c>
      <c r="C60" s="262" t="str">
        <f>C9</f>
        <v>CCT PB000035/2019*</v>
      </c>
      <c r="D60" s="220">
        <v>600</v>
      </c>
    </row>
    <row r="61" spans="1:4">
      <c r="A61" s="261" t="s">
        <v>34</v>
      </c>
      <c r="B61" t="s">
        <v>86</v>
      </c>
      <c r="C61" s="262"/>
      <c r="D61" s="220">
        <v>0</v>
      </c>
    </row>
    <row r="62" spans="1:6">
      <c r="A62" s="279" t="s">
        <v>36</v>
      </c>
      <c r="B62" s="280" t="s">
        <v>192</v>
      </c>
      <c r="C62" s="196"/>
      <c r="D62" s="196">
        <v>0</v>
      </c>
      <c r="F62" s="280"/>
    </row>
    <row r="63" spans="1:4">
      <c r="A63" s="261" t="s">
        <v>39</v>
      </c>
      <c r="B63" s="265" t="s">
        <v>193</v>
      </c>
      <c r="C63" s="262"/>
      <c r="D63" s="220">
        <v>0</v>
      </c>
    </row>
    <row r="64" spans="1:4">
      <c r="A64" s="261" t="s">
        <v>41</v>
      </c>
      <c r="B64" s="281" t="s">
        <v>194</v>
      </c>
      <c r="C64" s="196"/>
      <c r="D64" s="220">
        <v>0</v>
      </c>
    </row>
    <row r="65" spans="1:4">
      <c r="A65" s="261" t="s">
        <v>44</v>
      </c>
      <c r="D65" s="267">
        <f>TRUNC((SUM(D59:D64)),2)</f>
        <v>600</v>
      </c>
    </row>
    <row r="66" spans="1:4">
      <c r="A66" s="261"/>
      <c r="D66" s="267"/>
    </row>
    <row r="67" spans="1:4">
      <c r="A67" s="260" t="s">
        <v>91</v>
      </c>
      <c r="B67" s="260"/>
      <c r="C67" s="260"/>
      <c r="D67" s="260"/>
    </row>
    <row r="68" spans="1:4">
      <c r="A68" s="261" t="s">
        <v>92</v>
      </c>
      <c r="B68" s="265" t="s">
        <v>93</v>
      </c>
      <c r="C68" s="261" t="s">
        <v>4</v>
      </c>
      <c r="D68" s="261" t="s">
        <v>5</v>
      </c>
    </row>
    <row r="69" spans="1:4">
      <c r="A69" s="261" t="s">
        <v>51</v>
      </c>
      <c r="B69" t="s">
        <v>52</v>
      </c>
      <c r="C69" s="261"/>
      <c r="D69" s="267">
        <f>D39</f>
        <v>511.19</v>
      </c>
    </row>
    <row r="70" spans="1:4">
      <c r="A70" s="261" t="s">
        <v>64</v>
      </c>
      <c r="B70" t="s">
        <v>65</v>
      </c>
      <c r="C70" s="261"/>
      <c r="D70" s="267">
        <f>D55</f>
        <v>1249.77</v>
      </c>
    </row>
    <row r="71" spans="1:4">
      <c r="A71" s="261" t="s">
        <v>82</v>
      </c>
      <c r="B71" t="s">
        <v>83</v>
      </c>
      <c r="C71" s="261"/>
      <c r="D71" s="267">
        <f>D65</f>
        <v>600</v>
      </c>
    </row>
    <row r="72" spans="1:4">
      <c r="A72" s="261" t="s">
        <v>44</v>
      </c>
      <c r="C72" s="261"/>
      <c r="D72" s="267">
        <f>TRUNC(SUM(D69:D71),2)</f>
        <v>2360.96</v>
      </c>
    </row>
    <row r="74" spans="1:4">
      <c r="A74" s="244" t="s">
        <v>94</v>
      </c>
      <c r="B74" s="244"/>
      <c r="C74" s="244"/>
      <c r="D74" s="244"/>
    </row>
    <row r="75" spans="1:4">
      <c r="A75" s="261" t="s">
        <v>95</v>
      </c>
      <c r="B75" s="265" t="s">
        <v>96</v>
      </c>
      <c r="C75" s="261" t="s">
        <v>24</v>
      </c>
      <c r="D75" s="261" t="s">
        <v>5</v>
      </c>
    </row>
    <row r="76" spans="1:4">
      <c r="A76" s="261" t="s">
        <v>28</v>
      </c>
      <c r="B76" t="s">
        <v>97</v>
      </c>
      <c r="C76" s="277">
        <f>((1/12)*5%)</f>
        <v>0.00416666666666667</v>
      </c>
      <c r="D76" s="220">
        <f>TRUNC(($D$31*C76),2)</f>
        <v>10.95</v>
      </c>
    </row>
    <row r="77" spans="1:4">
      <c r="A77" s="261" t="s">
        <v>31</v>
      </c>
      <c r="B77" t="s">
        <v>98</v>
      </c>
      <c r="C77" s="282">
        <v>0.08</v>
      </c>
      <c r="D77" s="267">
        <f>TRUNC(($D$76*C77),2)</f>
        <v>0.87</v>
      </c>
    </row>
    <row r="78" ht="30" spans="1:4">
      <c r="A78" s="261" t="s">
        <v>34</v>
      </c>
      <c r="B78" s="283" t="s">
        <v>99</v>
      </c>
      <c r="C78" s="284">
        <f>(0.08*0.4*0.05)</f>
        <v>0.0016</v>
      </c>
      <c r="D78" s="196">
        <f>TRUNC(($D$31*C78),2)</f>
        <v>4.2</v>
      </c>
    </row>
    <row r="79" spans="1:4">
      <c r="A79" s="261" t="s">
        <v>36</v>
      </c>
      <c r="B79" t="s">
        <v>100</v>
      </c>
      <c r="C79" s="285">
        <f>(((7/30)/12)*0.95)</f>
        <v>0.0184722222222222</v>
      </c>
      <c r="D79" s="286">
        <f>TRUNC(($D$31*C79),2)</f>
        <v>48.56</v>
      </c>
    </row>
    <row r="80" ht="30" spans="1:4">
      <c r="A80" s="261" t="s">
        <v>39</v>
      </c>
      <c r="B80" s="283" t="s">
        <v>195</v>
      </c>
      <c r="C80" s="284">
        <f>C55</f>
        <v>0.398</v>
      </c>
      <c r="D80" s="196">
        <f>TRUNC(($D$79*C80),2)</f>
        <v>19.32</v>
      </c>
    </row>
    <row r="81" ht="30" spans="1:4">
      <c r="A81" s="261" t="s">
        <v>41</v>
      </c>
      <c r="B81" s="283" t="s">
        <v>101</v>
      </c>
      <c r="C81" s="284">
        <f>(0.08*0.4*0.95)</f>
        <v>0.0304</v>
      </c>
      <c r="D81" s="196">
        <f>TRUNC(($D$31*C81),2)</f>
        <v>79.92</v>
      </c>
    </row>
    <row r="82" spans="1:4">
      <c r="A82" s="261" t="s">
        <v>44</v>
      </c>
      <c r="C82" s="282">
        <f>SUM(C76:C81)</f>
        <v>0.532638888888889</v>
      </c>
      <c r="D82" s="267">
        <f>TRUNC((SUM(D76:D81)),2)</f>
        <v>163.82</v>
      </c>
    </row>
    <row r="83" ht="15.75" spans="1:4">
      <c r="A83" s="261"/>
      <c r="D83" s="267"/>
    </row>
    <row r="84" ht="16.5" spans="1:4">
      <c r="A84" s="271" t="s">
        <v>196</v>
      </c>
      <c r="B84" s="271"/>
      <c r="C84" s="272" t="s">
        <v>188</v>
      </c>
      <c r="D84" s="273">
        <f>D31</f>
        <v>2629</v>
      </c>
    </row>
    <row r="85" ht="16.5" spans="1:4">
      <c r="A85" s="271"/>
      <c r="B85" s="271"/>
      <c r="C85" s="274" t="s">
        <v>197</v>
      </c>
      <c r="D85" s="273">
        <f>D72</f>
        <v>2360.96</v>
      </c>
    </row>
    <row r="86" ht="16.5" spans="1:4">
      <c r="A86" s="271"/>
      <c r="B86" s="271"/>
      <c r="C86" s="272" t="s">
        <v>198</v>
      </c>
      <c r="D86" s="273">
        <f>D82</f>
        <v>163.82</v>
      </c>
    </row>
    <row r="87" ht="16.5" spans="1:4">
      <c r="A87" s="271"/>
      <c r="B87" s="271"/>
      <c r="C87" s="274" t="s">
        <v>190</v>
      </c>
      <c r="D87" s="275">
        <f>TRUNC((SUM(D84:D86)),2)</f>
        <v>5153.78</v>
      </c>
    </row>
    <row r="88" ht="15.75" spans="1:4">
      <c r="A88" s="261"/>
      <c r="D88" s="267"/>
    </row>
    <row r="89" spans="1:4">
      <c r="A89" s="287" t="s">
        <v>113</v>
      </c>
      <c r="B89" s="287"/>
      <c r="C89" s="287"/>
      <c r="D89" s="287"/>
    </row>
    <row r="90" spans="1:4">
      <c r="A90" s="260" t="s">
        <v>114</v>
      </c>
      <c r="B90" s="260"/>
      <c r="C90" s="260"/>
      <c r="D90" s="260"/>
    </row>
    <row r="91" spans="1:4">
      <c r="A91" s="261" t="s">
        <v>115</v>
      </c>
      <c r="B91" s="265" t="s">
        <v>116</v>
      </c>
      <c r="C91" s="261" t="s">
        <v>24</v>
      </c>
      <c r="D91" s="261" t="s">
        <v>5</v>
      </c>
    </row>
    <row r="92" spans="1:4">
      <c r="A92" s="261" t="s">
        <v>28</v>
      </c>
      <c r="B92" t="s">
        <v>199</v>
      </c>
      <c r="C92" s="282">
        <f>(((1+1/3)/12)/12)+((1/12)/12)</f>
        <v>0.0162037037037037</v>
      </c>
      <c r="D92" s="267">
        <f>TRUNC(($D$87*C92),2)</f>
        <v>83.51</v>
      </c>
    </row>
    <row r="93" spans="1:4">
      <c r="A93" s="261" t="s">
        <v>31</v>
      </c>
      <c r="B93" t="s">
        <v>119</v>
      </c>
      <c r="C93" s="277">
        <f>((2/30)/12)</f>
        <v>0.00555555555555556</v>
      </c>
      <c r="D93" s="196">
        <f t="shared" ref="D92:D96" si="1">TRUNC(($D$87*C93),2)</f>
        <v>28.63</v>
      </c>
    </row>
    <row r="94" spans="1:4">
      <c r="A94" s="261" t="s">
        <v>34</v>
      </c>
      <c r="B94" t="s">
        <v>120</v>
      </c>
      <c r="C94" s="277">
        <f>((5/30)/12)*0.02</f>
        <v>0.000277777777777778</v>
      </c>
      <c r="D94" s="196">
        <f t="shared" si="1"/>
        <v>1.43</v>
      </c>
    </row>
    <row r="95" spans="1:4">
      <c r="A95" s="279" t="s">
        <v>36</v>
      </c>
      <c r="B95" s="283" t="s">
        <v>121</v>
      </c>
      <c r="C95" s="284">
        <f>((15/30)/12)*0.08</f>
        <v>0.00333333333333333</v>
      </c>
      <c r="D95" s="196">
        <f t="shared" si="1"/>
        <v>17.17</v>
      </c>
    </row>
    <row r="96" spans="1:4">
      <c r="A96" s="261" t="s">
        <v>39</v>
      </c>
      <c r="B96" t="s">
        <v>122</v>
      </c>
      <c r="C96" s="277">
        <f>((1+1/3)/12)*0.03*((4/12))</f>
        <v>0.00111111111111111</v>
      </c>
      <c r="D96" s="196">
        <f t="shared" si="1"/>
        <v>5.72</v>
      </c>
    </row>
    <row r="97" spans="1:4">
      <c r="A97" s="261" t="s">
        <v>41</v>
      </c>
      <c r="B97" s="283" t="s">
        <v>200</v>
      </c>
      <c r="C97" s="288">
        <v>0</v>
      </c>
      <c r="D97" s="196">
        <f>TRUNC($D$87*C97)</f>
        <v>0</v>
      </c>
    </row>
    <row r="98" spans="1:4">
      <c r="A98" s="261" t="s">
        <v>44</v>
      </c>
      <c r="C98" s="282">
        <f>SUM(C92:C97)</f>
        <v>0.0264814814814815</v>
      </c>
      <c r="D98" s="267">
        <f>TRUNC((SUM(D92:D97)),2)</f>
        <v>136.46</v>
      </c>
    </row>
    <row r="99" spans="1:4">
      <c r="A99" s="261"/>
      <c r="C99" s="261"/>
      <c r="D99" s="267"/>
    </row>
    <row r="100" spans="1:4">
      <c r="A100" s="260" t="s">
        <v>130</v>
      </c>
      <c r="B100" s="260"/>
      <c r="C100" s="260"/>
      <c r="D100" s="260"/>
    </row>
    <row r="101" spans="1:4">
      <c r="A101" s="261" t="s">
        <v>131</v>
      </c>
      <c r="B101" s="265" t="s">
        <v>132</v>
      </c>
      <c r="C101" s="261" t="s">
        <v>4</v>
      </c>
      <c r="D101" s="261" t="s">
        <v>5</v>
      </c>
    </row>
    <row r="102" ht="105" spans="1:4">
      <c r="A102" s="279" t="s">
        <v>28</v>
      </c>
      <c r="B102" s="289" t="s">
        <v>133</v>
      </c>
      <c r="C102" s="207" t="s">
        <v>201</v>
      </c>
      <c r="D102" s="208" t="s">
        <v>202</v>
      </c>
    </row>
    <row r="103" spans="1:4">
      <c r="A103" s="261" t="s">
        <v>44</v>
      </c>
      <c r="C103" s="290"/>
      <c r="D103" s="209" t="str">
        <f>D102</f>
        <v>*=TRUNCAR(($D$86/220)*(1*(365/12))/2)</v>
      </c>
    </row>
    <row r="105" spans="1:4">
      <c r="A105" s="260" t="s">
        <v>134</v>
      </c>
      <c r="B105" s="260"/>
      <c r="C105" s="260"/>
      <c r="D105" s="260"/>
    </row>
    <row r="106" spans="1:4">
      <c r="A106" s="261" t="s">
        <v>135</v>
      </c>
      <c r="B106" s="265" t="s">
        <v>136</v>
      </c>
      <c r="C106" s="261" t="s">
        <v>4</v>
      </c>
      <c r="D106" s="261" t="s">
        <v>5</v>
      </c>
    </row>
    <row r="107" spans="1:4">
      <c r="A107" s="261" t="s">
        <v>115</v>
      </c>
      <c r="B107" t="s">
        <v>116</v>
      </c>
      <c r="D107" s="220">
        <f>D98</f>
        <v>136.46</v>
      </c>
    </row>
    <row r="108" spans="1:4">
      <c r="A108" s="261" t="s">
        <v>131</v>
      </c>
      <c r="B108" t="s">
        <v>137</v>
      </c>
      <c r="C108" s="265"/>
      <c r="D108" s="291" t="str">
        <f>Submódulo4.260_81[[#Totals],[Valor]]</f>
        <v>*=TRUNCAR(($D$86/220)*(1*(365/12))/2)</v>
      </c>
    </row>
    <row r="109" ht="75" spans="1:4">
      <c r="A109" s="279" t="s">
        <v>44</v>
      </c>
      <c r="B109" s="280"/>
      <c r="C109" s="207" t="s">
        <v>203</v>
      </c>
      <c r="D109" s="292">
        <f>TRUNC((SUM(D107:D108)),2)</f>
        <v>136.46</v>
      </c>
    </row>
    <row r="111" spans="1:4">
      <c r="A111" s="244" t="s">
        <v>138</v>
      </c>
      <c r="B111" s="244"/>
      <c r="C111" s="244"/>
      <c r="D111" s="244"/>
    </row>
    <row r="112" spans="1:4">
      <c r="A112" s="261" t="s">
        <v>139</v>
      </c>
      <c r="B112" s="265" t="s">
        <v>140</v>
      </c>
      <c r="C112" s="261" t="s">
        <v>4</v>
      </c>
      <c r="D112" s="261" t="s">
        <v>5</v>
      </c>
    </row>
    <row r="113" spans="1:4">
      <c r="A113" s="261" t="s">
        <v>28</v>
      </c>
      <c r="B113" t="s">
        <v>204</v>
      </c>
      <c r="D113" s="180">
        <f>Uniformes!G37</f>
        <v>72.13</v>
      </c>
    </row>
    <row r="114" spans="1:4">
      <c r="A114" s="261" t="s">
        <v>31</v>
      </c>
      <c r="B114" t="s">
        <v>205</v>
      </c>
      <c r="D114" s="180">
        <f>EPC!E21</f>
        <v>8.97</v>
      </c>
    </row>
    <row r="115" spans="1:4">
      <c r="A115" s="261" t="s">
        <v>34</v>
      </c>
      <c r="B115" t="s">
        <v>142</v>
      </c>
      <c r="D115" s="180">
        <v>0</v>
      </c>
    </row>
    <row r="116" spans="1:4">
      <c r="A116" s="261" t="s">
        <v>36</v>
      </c>
      <c r="B116" t="s">
        <v>143</v>
      </c>
      <c r="D116" s="220">
        <v>0</v>
      </c>
    </row>
    <row r="117" spans="1:4">
      <c r="A117" s="261" t="s">
        <v>39</v>
      </c>
      <c r="B117" t="s">
        <v>206</v>
      </c>
      <c r="D117" s="220">
        <f>H116</f>
        <v>0</v>
      </c>
    </row>
    <row r="118" spans="1:4">
      <c r="A118" s="261" t="s">
        <v>44</v>
      </c>
      <c r="D118" s="267">
        <f>TRUNC(SUM(D113:D117),2)</f>
        <v>81.1</v>
      </c>
    </row>
    <row r="119" ht="15.75"/>
    <row r="120" ht="16.5" spans="1:4">
      <c r="A120" s="271" t="s">
        <v>207</v>
      </c>
      <c r="B120" s="271"/>
      <c r="C120" s="272" t="s">
        <v>188</v>
      </c>
      <c r="D120" s="273">
        <f>D31</f>
        <v>2629</v>
      </c>
    </row>
    <row r="121" ht="16.5" spans="1:4">
      <c r="A121" s="271"/>
      <c r="B121" s="271"/>
      <c r="C121" s="274" t="s">
        <v>197</v>
      </c>
      <c r="D121" s="273">
        <f>D72</f>
        <v>2360.96</v>
      </c>
    </row>
    <row r="122" ht="16.5" spans="1:4">
      <c r="A122" s="271"/>
      <c r="B122" s="271"/>
      <c r="C122" s="272" t="s">
        <v>198</v>
      </c>
      <c r="D122" s="273">
        <f>D82</f>
        <v>163.82</v>
      </c>
    </row>
    <row r="123" ht="16.5" spans="1:4">
      <c r="A123" s="271"/>
      <c r="B123" s="271"/>
      <c r="C123" s="274" t="s">
        <v>208</v>
      </c>
      <c r="D123" s="273">
        <f>D109</f>
        <v>136.46</v>
      </c>
    </row>
    <row r="124" ht="16.5" spans="1:4">
      <c r="A124" s="271"/>
      <c r="B124" s="271"/>
      <c r="C124" s="272" t="s">
        <v>209</v>
      </c>
      <c r="D124" s="273">
        <f>D118</f>
        <v>81.1</v>
      </c>
    </row>
    <row r="125" ht="16.5" spans="1:4">
      <c r="A125" s="271"/>
      <c r="B125" s="271"/>
      <c r="C125" s="274" t="s">
        <v>190</v>
      </c>
      <c r="D125" s="275">
        <f>TRUNC((SUM(D120:D124)),2)</f>
        <v>5371.34</v>
      </c>
    </row>
    <row r="126" ht="15.75"/>
    <row r="127" spans="1:4">
      <c r="A127" s="244" t="s">
        <v>150</v>
      </c>
      <c r="B127" s="244"/>
      <c r="C127" s="244"/>
      <c r="D127" s="244"/>
    </row>
    <row r="128" ht="15.75" spans="1:7">
      <c r="A128" s="261" t="s">
        <v>151</v>
      </c>
      <c r="B128" t="s">
        <v>152</v>
      </c>
      <c r="C128" s="261" t="s">
        <v>24</v>
      </c>
      <c r="D128" s="261" t="s">
        <v>5</v>
      </c>
      <c r="F128" s="221" t="s">
        <v>210</v>
      </c>
      <c r="G128" s="221"/>
    </row>
    <row r="129" ht="15.75" spans="1:7">
      <c r="A129" s="261" t="s">
        <v>28</v>
      </c>
      <c r="B129" t="s">
        <v>153</v>
      </c>
      <c r="C129" s="193">
        <v>0.044</v>
      </c>
      <c r="D129" s="180">
        <f>TRUNC(($D$125*C129),2)</f>
        <v>236.33</v>
      </c>
      <c r="F129" s="223" t="s">
        <v>211</v>
      </c>
      <c r="G129" s="284">
        <f>C131</f>
        <v>0.0865</v>
      </c>
    </row>
    <row r="130" ht="15.75" spans="1:7">
      <c r="A130" s="261" t="s">
        <v>31</v>
      </c>
      <c r="B130" t="s">
        <v>45</v>
      </c>
      <c r="C130" s="193">
        <v>0.0413</v>
      </c>
      <c r="D130" s="180">
        <f>TRUNC((C130*(D125+D129)),2)</f>
        <v>231.59</v>
      </c>
      <c r="F130" s="293" t="s">
        <v>212</v>
      </c>
      <c r="G130" s="294">
        <f>TRUNC(SUM(D125,D129,D130),2)</f>
        <v>5839.26</v>
      </c>
    </row>
    <row r="131" ht="15.75" spans="1:7">
      <c r="A131" s="261" t="s">
        <v>34</v>
      </c>
      <c r="B131" t="s">
        <v>154</v>
      </c>
      <c r="C131" s="193">
        <f>SUM(C132:C134)</f>
        <v>0.0865</v>
      </c>
      <c r="D131" s="180">
        <f>TRUNC((SUM(D132:D134)),2)</f>
        <v>552.9</v>
      </c>
      <c r="F131" s="223" t="s">
        <v>213</v>
      </c>
      <c r="G131" s="295">
        <f>(100-8.65)/100</f>
        <v>0.9135</v>
      </c>
    </row>
    <row r="132" ht="15.75" spans="1:7">
      <c r="A132" s="261"/>
      <c r="B132" t="s">
        <v>214</v>
      </c>
      <c r="C132" s="277">
        <v>0.0065</v>
      </c>
      <c r="D132" s="220">
        <f>TRUNC(($G$132*C132),2)</f>
        <v>41.54</v>
      </c>
      <c r="F132" s="293" t="s">
        <v>210</v>
      </c>
      <c r="G132" s="294">
        <f>TRUNC((G130/G131),2)</f>
        <v>6392.18</v>
      </c>
    </row>
    <row r="133" ht="15.75" spans="1:4">
      <c r="A133" s="261"/>
      <c r="B133" t="s">
        <v>215</v>
      </c>
      <c r="C133" s="277">
        <v>0.03</v>
      </c>
      <c r="D133" s="220">
        <f>TRUNC(($G$132*C133),2)</f>
        <v>191.76</v>
      </c>
    </row>
    <row r="134" spans="1:4">
      <c r="A134" s="261"/>
      <c r="B134" t="s">
        <v>216</v>
      </c>
      <c r="C134" s="277">
        <v>0.05</v>
      </c>
      <c r="D134" s="220">
        <f t="shared" ref="D132:D134" si="2">TRUNC(($G$132*C134),2)</f>
        <v>319.6</v>
      </c>
    </row>
    <row r="135" spans="1:4">
      <c r="A135" s="261" t="s">
        <v>44</v>
      </c>
      <c r="C135" s="296"/>
      <c r="D135" s="267">
        <f>TRUNC(SUM(D129:D131),2)</f>
        <v>1020.82</v>
      </c>
    </row>
    <row r="136" spans="1:4">
      <c r="A136" s="261"/>
      <c r="C136" s="296"/>
      <c r="D136" s="267"/>
    </row>
    <row r="138" spans="1:4">
      <c r="A138" s="244" t="s">
        <v>158</v>
      </c>
      <c r="B138" s="244"/>
      <c r="C138" s="244"/>
      <c r="D138" s="244"/>
    </row>
    <row r="139" spans="1:4">
      <c r="A139" s="261" t="s">
        <v>2</v>
      </c>
      <c r="B139" s="261" t="s">
        <v>159</v>
      </c>
      <c r="C139" s="261" t="s">
        <v>88</v>
      </c>
      <c r="D139" s="261" t="s">
        <v>5</v>
      </c>
    </row>
    <row r="140" spans="1:4">
      <c r="A140" s="261" t="s">
        <v>28</v>
      </c>
      <c r="B140" t="s">
        <v>22</v>
      </c>
      <c r="D140" s="267">
        <f>D31</f>
        <v>2629</v>
      </c>
    </row>
    <row r="141" spans="1:4">
      <c r="A141" s="261" t="s">
        <v>31</v>
      </c>
      <c r="B141" t="s">
        <v>47</v>
      </c>
      <c r="D141" s="267">
        <f>D72</f>
        <v>2360.96</v>
      </c>
    </row>
    <row r="142" spans="1:4">
      <c r="A142" s="261" t="s">
        <v>34</v>
      </c>
      <c r="B142" t="s">
        <v>94</v>
      </c>
      <c r="D142" s="267">
        <f>D82</f>
        <v>163.82</v>
      </c>
    </row>
    <row r="143" spans="1:4">
      <c r="A143" s="261" t="s">
        <v>36</v>
      </c>
      <c r="B143" t="s">
        <v>160</v>
      </c>
      <c r="D143" s="267">
        <f>D109</f>
        <v>136.46</v>
      </c>
    </row>
    <row r="144" spans="1:4">
      <c r="A144" s="261" t="s">
        <v>39</v>
      </c>
      <c r="B144" t="s">
        <v>138</v>
      </c>
      <c r="D144" s="267">
        <f>D118</f>
        <v>81.1</v>
      </c>
    </row>
    <row r="145" spans="2:4">
      <c r="B145" s="297" t="s">
        <v>161</v>
      </c>
      <c r="D145" s="267">
        <f>TRUNC(SUM(D140:D144),2)</f>
        <v>5371.34</v>
      </c>
    </row>
    <row r="146" spans="1:4">
      <c r="A146" s="261" t="s">
        <v>41</v>
      </c>
      <c r="B146" t="s">
        <v>150</v>
      </c>
      <c r="D146" s="267">
        <f>D135</f>
        <v>1020.82</v>
      </c>
    </row>
    <row r="147" spans="1:4">
      <c r="A147" s="298"/>
      <c r="B147" s="299" t="s">
        <v>217</v>
      </c>
      <c r="C147" s="298"/>
      <c r="D147" s="300">
        <f>TRUNC((SUM(D140:D144)+D146),2)</f>
        <v>6392.16</v>
      </c>
    </row>
    <row r="149" spans="1:1">
      <c r="A149" t="s">
        <v>227</v>
      </c>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7"/>
  <sheetViews>
    <sheetView topLeftCell="A132" workbookViewId="0">
      <selection activeCell="A2" sqref="A2:D147"/>
    </sheetView>
  </sheetViews>
  <sheetFormatPr defaultColWidth="9.14285714285714" defaultRowHeight="15" outlineLevelCol="6"/>
  <cols>
    <col min="1" max="1" width="11" customWidth="1"/>
    <col min="2" max="2" width="51.1428571428571" customWidth="1"/>
    <col min="3" max="3" width="30" customWidth="1"/>
    <col min="4" max="4" width="38.5714285714286" customWidth="1"/>
    <col min="6" max="6" width="22.2857142857143" customWidth="1"/>
    <col min="7" max="7" width="14.2857142857143" customWidth="1"/>
  </cols>
  <sheetData>
    <row r="1" spans="1:7">
      <c r="A1" s="85"/>
      <c r="B1" s="85"/>
      <c r="C1" s="85"/>
      <c r="D1" s="85"/>
      <c r="E1" s="85"/>
      <c r="F1" s="85"/>
      <c r="G1" s="85"/>
    </row>
    <row r="2" ht="19.5" spans="1:7">
      <c r="A2" s="154" t="s">
        <v>163</v>
      </c>
      <c r="B2" s="154"/>
      <c r="C2" s="154"/>
      <c r="D2" s="154"/>
      <c r="E2" s="85"/>
      <c r="F2" s="85"/>
      <c r="G2" s="85"/>
    </row>
    <row r="3" ht="15.75" spans="1:7">
      <c r="A3" s="155" t="s">
        <v>228</v>
      </c>
      <c r="B3" s="155"/>
      <c r="C3" s="155"/>
      <c r="D3" s="155"/>
      <c r="E3" s="85"/>
      <c r="F3" s="85"/>
      <c r="G3" s="85"/>
    </row>
    <row r="4" spans="1:7">
      <c r="A4" s="156" t="s">
        <v>165</v>
      </c>
      <c r="B4" s="157" t="s">
        <v>166</v>
      </c>
      <c r="C4" s="158"/>
      <c r="D4" s="158"/>
      <c r="E4" s="85"/>
      <c r="F4" s="85"/>
      <c r="G4" s="85"/>
    </row>
    <row r="5" spans="1:7">
      <c r="A5" s="159"/>
      <c r="B5" s="160"/>
      <c r="C5" s="160"/>
      <c r="D5" s="160"/>
      <c r="E5" s="85"/>
      <c r="F5" s="85"/>
      <c r="G5" s="85"/>
    </row>
    <row r="6" ht="15.75" spans="1:7">
      <c r="A6" s="161" t="s">
        <v>167</v>
      </c>
      <c r="B6" s="161"/>
      <c r="C6" s="161"/>
      <c r="D6" s="161"/>
      <c r="E6" s="85"/>
      <c r="F6" s="85"/>
      <c r="G6" s="85"/>
    </row>
    <row r="7" ht="15.75" spans="1:7">
      <c r="A7" s="162" t="s">
        <v>28</v>
      </c>
      <c r="B7" s="163" t="s">
        <v>168</v>
      </c>
      <c r="C7" s="164" t="s">
        <v>169</v>
      </c>
      <c r="D7" s="164"/>
      <c r="E7" s="85"/>
      <c r="F7" s="85"/>
      <c r="G7" s="85"/>
    </row>
    <row r="8" spans="1:7">
      <c r="A8" s="165" t="s">
        <v>31</v>
      </c>
      <c r="B8" s="166" t="s">
        <v>170</v>
      </c>
      <c r="C8" s="167" t="s">
        <v>171</v>
      </c>
      <c r="D8" s="167"/>
      <c r="E8" s="85"/>
      <c r="F8" s="85"/>
      <c r="G8" s="85"/>
    </row>
    <row r="9" spans="1:7">
      <c r="A9" s="168" t="s">
        <v>34</v>
      </c>
      <c r="B9" s="169" t="s">
        <v>172</v>
      </c>
      <c r="C9" s="167" t="s">
        <v>229</v>
      </c>
      <c r="D9" s="167"/>
      <c r="E9" s="85"/>
      <c r="F9" s="85"/>
      <c r="G9" s="85"/>
    </row>
    <row r="10" spans="1:7">
      <c r="A10" s="165" t="s">
        <v>39</v>
      </c>
      <c r="B10" s="166" t="s">
        <v>174</v>
      </c>
      <c r="C10" s="167" t="s">
        <v>175</v>
      </c>
      <c r="D10" s="167"/>
      <c r="E10" s="85"/>
      <c r="F10" s="85"/>
      <c r="G10" s="85"/>
    </row>
    <row r="11" ht="15.75" spans="1:7">
      <c r="A11" s="170" t="s">
        <v>176</v>
      </c>
      <c r="B11" s="170"/>
      <c r="C11" s="170"/>
      <c r="D11" s="170"/>
      <c r="E11" s="85"/>
      <c r="F11" s="85"/>
      <c r="G11" s="85"/>
    </row>
    <row r="12" ht="16.5" spans="1:7">
      <c r="A12" s="171" t="s">
        <v>177</v>
      </c>
      <c r="B12" s="171"/>
      <c r="C12" s="170" t="s">
        <v>178</v>
      </c>
      <c r="D12" s="172" t="s">
        <v>179</v>
      </c>
      <c r="E12" s="85"/>
      <c r="F12" s="85"/>
      <c r="G12" s="85"/>
    </row>
    <row r="13" ht="15.75" spans="1:7">
      <c r="A13" s="173" t="s">
        <v>230</v>
      </c>
      <c r="B13" s="173"/>
      <c r="C13" s="167" t="s">
        <v>181</v>
      </c>
      <c r="D13" s="174">
        <f>RESUMO!D6</f>
        <v>1</v>
      </c>
      <c r="E13" s="85"/>
      <c r="F13" s="85"/>
      <c r="G13" s="85"/>
    </row>
    <row r="14" spans="1:7">
      <c r="A14" s="175"/>
      <c r="B14" s="175"/>
      <c r="C14" s="167"/>
      <c r="D14" s="176"/>
      <c r="E14" s="85"/>
      <c r="F14" s="85"/>
      <c r="G14" s="85"/>
    </row>
    <row r="15" ht="15.75" spans="1:7">
      <c r="A15" s="170" t="s">
        <v>0</v>
      </c>
      <c r="B15" s="170"/>
      <c r="C15" s="170"/>
      <c r="D15" s="170"/>
      <c r="E15" s="85"/>
      <c r="F15" s="177"/>
      <c r="G15" s="177"/>
    </row>
    <row r="16" ht="15.75" spans="1:7">
      <c r="A16" s="178" t="s">
        <v>2</v>
      </c>
      <c r="B16" s="85" t="s">
        <v>3</v>
      </c>
      <c r="C16" s="178" t="s">
        <v>4</v>
      </c>
      <c r="D16" s="178" t="s">
        <v>5</v>
      </c>
      <c r="E16" s="85"/>
      <c r="F16" s="85"/>
      <c r="G16" s="85"/>
    </row>
    <row r="17" spans="1:7">
      <c r="A17" s="178">
        <v>1</v>
      </c>
      <c r="B17" s="85" t="s">
        <v>6</v>
      </c>
      <c r="C17" s="179" t="s">
        <v>88</v>
      </c>
      <c r="D17" s="179" t="str">
        <f>A13</f>
        <v>Eletricista</v>
      </c>
      <c r="E17" s="85"/>
      <c r="F17" s="85"/>
      <c r="G17" s="85"/>
    </row>
    <row r="18" spans="1:7">
      <c r="A18" s="178">
        <v>2</v>
      </c>
      <c r="B18" s="85" t="s">
        <v>9</v>
      </c>
      <c r="C18" s="179" t="s">
        <v>182</v>
      </c>
      <c r="D18" s="179" t="s">
        <v>231</v>
      </c>
      <c r="E18" s="85"/>
      <c r="F18" s="85"/>
      <c r="G18" s="85"/>
    </row>
    <row r="19" spans="1:7">
      <c r="A19" s="178">
        <v>3</v>
      </c>
      <c r="B19" s="85" t="s">
        <v>12</v>
      </c>
      <c r="C19" s="179" t="str">
        <f>C9</f>
        <v>CCT PB 000047/2021</v>
      </c>
      <c r="D19" s="180">
        <v>1528</v>
      </c>
      <c r="E19" s="85"/>
      <c r="F19" s="85"/>
      <c r="G19" s="85"/>
    </row>
    <row r="20" spans="1:7">
      <c r="A20" s="178">
        <v>4</v>
      </c>
      <c r="B20" s="85" t="s">
        <v>15</v>
      </c>
      <c r="C20" s="179" t="str">
        <f>C9</f>
        <v>CCT PB 000047/2021</v>
      </c>
      <c r="D20" s="179" t="s">
        <v>184</v>
      </c>
      <c r="E20" s="85"/>
      <c r="F20" s="85"/>
      <c r="G20" s="85"/>
    </row>
    <row r="21" spans="1:7">
      <c r="A21" s="178">
        <v>5</v>
      </c>
      <c r="B21" s="85" t="s">
        <v>19</v>
      </c>
      <c r="C21" s="179" t="str">
        <f>C9</f>
        <v>CCT PB 000047/2021</v>
      </c>
      <c r="D21" s="181" t="s">
        <v>185</v>
      </c>
      <c r="E21" s="85"/>
      <c r="F21" s="85"/>
      <c r="G21" s="85"/>
    </row>
    <row r="22" spans="1:7">
      <c r="A22" s="85"/>
      <c r="B22" s="85"/>
      <c r="C22" s="85"/>
      <c r="D22" s="85"/>
      <c r="E22" s="85"/>
      <c r="F22" s="177"/>
      <c r="G22" s="177"/>
    </row>
    <row r="23" spans="1:7">
      <c r="A23" s="161" t="s">
        <v>22</v>
      </c>
      <c r="B23" s="161"/>
      <c r="C23" s="161"/>
      <c r="D23" s="161"/>
      <c r="E23" s="85"/>
      <c r="F23" s="85"/>
      <c r="G23" s="85"/>
    </row>
    <row r="24" spans="1:7">
      <c r="A24" s="178" t="s">
        <v>25</v>
      </c>
      <c r="B24" s="85" t="s">
        <v>26</v>
      </c>
      <c r="C24" s="178" t="s">
        <v>4</v>
      </c>
      <c r="D24" s="178" t="s">
        <v>5</v>
      </c>
      <c r="E24" s="85"/>
      <c r="F24" s="85"/>
      <c r="G24" s="182"/>
    </row>
    <row r="25" spans="1:7">
      <c r="A25" s="178" t="s">
        <v>28</v>
      </c>
      <c r="B25" s="85" t="s">
        <v>29</v>
      </c>
      <c r="C25" s="179" t="s">
        <v>232</v>
      </c>
      <c r="D25" s="194">
        <f>D19</f>
        <v>1528</v>
      </c>
      <c r="E25" s="85"/>
      <c r="F25" s="85"/>
      <c r="G25" s="182"/>
    </row>
    <row r="26" ht="30" spans="1:7">
      <c r="A26" s="178" t="s">
        <v>31</v>
      </c>
      <c r="B26" s="85" t="s">
        <v>32</v>
      </c>
      <c r="C26" s="234" t="s">
        <v>233</v>
      </c>
      <c r="D26" s="194">
        <f>TRUNC((D25*30%),2)</f>
        <v>458.4</v>
      </c>
      <c r="E26" s="85"/>
      <c r="F26" s="85"/>
      <c r="G26" s="182"/>
    </row>
    <row r="27" spans="1:7">
      <c r="A27" s="178" t="s">
        <v>34</v>
      </c>
      <c r="B27" s="85" t="s">
        <v>35</v>
      </c>
      <c r="C27" s="179"/>
      <c r="D27" s="194">
        <v>0</v>
      </c>
      <c r="E27" s="85"/>
      <c r="F27" s="85"/>
      <c r="G27" s="85"/>
    </row>
    <row r="28" spans="1:7">
      <c r="A28" s="178" t="s">
        <v>36</v>
      </c>
      <c r="B28" s="85" t="s">
        <v>37</v>
      </c>
      <c r="C28" s="179"/>
      <c r="D28" s="194">
        <v>0</v>
      </c>
      <c r="E28" s="85"/>
      <c r="F28" s="85"/>
      <c r="G28" s="85"/>
    </row>
    <row r="29" spans="1:7">
      <c r="A29" s="178" t="s">
        <v>39</v>
      </c>
      <c r="B29" s="85" t="s">
        <v>40</v>
      </c>
      <c r="C29" s="179"/>
      <c r="D29" s="194">
        <v>0</v>
      </c>
      <c r="E29" s="85"/>
      <c r="F29" s="85"/>
      <c r="G29" s="85"/>
    </row>
    <row r="30" spans="1:7">
      <c r="A30" s="178" t="s">
        <v>41</v>
      </c>
      <c r="B30" s="85" t="s">
        <v>42</v>
      </c>
      <c r="C30" s="179"/>
      <c r="D30" s="194">
        <v>0</v>
      </c>
      <c r="E30" s="85"/>
      <c r="F30" s="85"/>
      <c r="G30" s="85"/>
    </row>
    <row r="31" spans="1:7">
      <c r="A31" s="178" t="s">
        <v>44</v>
      </c>
      <c r="B31" s="85"/>
      <c r="C31" s="178"/>
      <c r="D31" s="198">
        <f>TRUNC(SUM(D25:D30),2)</f>
        <v>1986.4</v>
      </c>
      <c r="E31" s="85"/>
      <c r="F31" s="177"/>
      <c r="G31" s="177"/>
    </row>
    <row r="32" spans="1:7">
      <c r="A32" s="85"/>
      <c r="B32" s="85"/>
      <c r="C32" s="85"/>
      <c r="D32" s="85"/>
      <c r="E32" s="85"/>
      <c r="F32" s="85"/>
      <c r="G32" s="85"/>
    </row>
    <row r="33" spans="1:7">
      <c r="A33" s="184" t="s">
        <v>47</v>
      </c>
      <c r="B33" s="184"/>
      <c r="C33" s="184"/>
      <c r="D33" s="184"/>
      <c r="E33" s="85"/>
      <c r="F33" s="85"/>
      <c r="G33" s="182"/>
    </row>
    <row r="34" spans="1:7">
      <c r="A34" s="85"/>
      <c r="B34" s="85"/>
      <c r="C34" s="85"/>
      <c r="D34" s="85"/>
      <c r="E34" s="85"/>
      <c r="F34" s="85"/>
      <c r="G34" s="85"/>
    </row>
    <row r="35" spans="1:7">
      <c r="A35" s="177" t="s">
        <v>49</v>
      </c>
      <c r="B35" s="177"/>
      <c r="C35" s="177"/>
      <c r="D35" s="177"/>
      <c r="E35" s="85"/>
      <c r="F35" s="85"/>
      <c r="G35" s="85"/>
    </row>
    <row r="36" spans="1:7">
      <c r="A36" s="178" t="s">
        <v>51</v>
      </c>
      <c r="B36" s="85" t="s">
        <v>52</v>
      </c>
      <c r="C36" s="178" t="s">
        <v>24</v>
      </c>
      <c r="D36" s="178" t="s">
        <v>5</v>
      </c>
      <c r="E36" s="85"/>
      <c r="F36" s="85"/>
      <c r="G36" s="85"/>
    </row>
    <row r="37" spans="1:7">
      <c r="A37" s="178" t="s">
        <v>28</v>
      </c>
      <c r="B37" s="85" t="s">
        <v>53</v>
      </c>
      <c r="C37" s="185">
        <f>(1/12)</f>
        <v>0.0833333333333333</v>
      </c>
      <c r="D37" s="183">
        <f>TRUNC($D$31*C37,2)</f>
        <v>165.53</v>
      </c>
      <c r="E37" s="85"/>
      <c r="F37" s="186"/>
      <c r="G37" s="186"/>
    </row>
    <row r="38" spans="1:7">
      <c r="A38" s="178" t="s">
        <v>31</v>
      </c>
      <c r="B38" s="85" t="s">
        <v>54</v>
      </c>
      <c r="C38" s="185">
        <f>(((1+1/3)/12))</f>
        <v>0.111111111111111</v>
      </c>
      <c r="D38" s="183">
        <f>TRUNC($D$31*C38,2)</f>
        <v>220.71</v>
      </c>
      <c r="E38" s="85"/>
      <c r="F38" s="186"/>
      <c r="G38" s="186"/>
    </row>
    <row r="39" spans="1:7">
      <c r="A39" s="178" t="s">
        <v>44</v>
      </c>
      <c r="B39" s="85"/>
      <c r="C39" s="85"/>
      <c r="D39" s="183">
        <f>TRUNC((SUM(D37:D38)),2)</f>
        <v>386.24</v>
      </c>
      <c r="E39" s="85"/>
      <c r="F39" s="186"/>
      <c r="G39" s="186"/>
    </row>
    <row r="40" ht="15.75" spans="1:7">
      <c r="A40" s="85"/>
      <c r="B40" s="85"/>
      <c r="C40" s="85"/>
      <c r="D40" s="183"/>
      <c r="E40" s="85"/>
      <c r="F40" s="186"/>
      <c r="G40" s="186"/>
    </row>
    <row r="41" ht="16.5" spans="1:7">
      <c r="A41" s="187" t="s">
        <v>187</v>
      </c>
      <c r="B41" s="187"/>
      <c r="C41" s="188" t="s">
        <v>188</v>
      </c>
      <c r="D41" s="189">
        <f>D31</f>
        <v>1986.4</v>
      </c>
      <c r="E41" s="85"/>
      <c r="F41" s="186"/>
      <c r="G41" s="186"/>
    </row>
    <row r="42" ht="16.5" spans="1:7">
      <c r="A42" s="187"/>
      <c r="B42" s="187"/>
      <c r="C42" s="190" t="s">
        <v>189</v>
      </c>
      <c r="D42" s="189">
        <f>D39</f>
        <v>386.24</v>
      </c>
      <c r="E42" s="85"/>
      <c r="F42" s="186"/>
      <c r="G42" s="186"/>
    </row>
    <row r="43" ht="16.5" spans="1:7">
      <c r="A43" s="187"/>
      <c r="B43" s="187"/>
      <c r="C43" s="188" t="s">
        <v>190</v>
      </c>
      <c r="D43" s="191">
        <f>TRUNC((SUM(D41:D42)),2)</f>
        <v>2372.64</v>
      </c>
      <c r="E43" s="85"/>
      <c r="F43" s="186"/>
      <c r="G43" s="186"/>
    </row>
    <row r="44" ht="15.75" spans="1:7">
      <c r="A44" s="178"/>
      <c r="B44" s="85"/>
      <c r="C44" s="192"/>
      <c r="D44" s="183"/>
      <c r="E44" s="85"/>
      <c r="F44" s="186"/>
      <c r="G44" s="186"/>
    </row>
    <row r="45" spans="1:7">
      <c r="A45" s="177" t="s">
        <v>63</v>
      </c>
      <c r="B45" s="177"/>
      <c r="C45" s="177"/>
      <c r="D45" s="177"/>
      <c r="E45" s="85"/>
      <c r="F45" s="85"/>
      <c r="G45" s="85"/>
    </row>
    <row r="46" spans="1:7">
      <c r="A46" s="178" t="s">
        <v>64</v>
      </c>
      <c r="B46" s="85" t="s">
        <v>65</v>
      </c>
      <c r="C46" s="178" t="s">
        <v>24</v>
      </c>
      <c r="D46" s="178" t="s">
        <v>66</v>
      </c>
      <c r="E46" s="85"/>
      <c r="F46" s="85"/>
      <c r="G46" s="85"/>
    </row>
    <row r="47" spans="1:7">
      <c r="A47" s="178" t="s">
        <v>28</v>
      </c>
      <c r="B47" s="85" t="s">
        <v>67</v>
      </c>
      <c r="C47" s="185">
        <v>0.2</v>
      </c>
      <c r="D47" s="183">
        <f t="shared" ref="D47:D54" si="0">TRUNC(($D$43*C47),2)</f>
        <v>474.52</v>
      </c>
      <c r="E47" s="85"/>
      <c r="F47" s="85"/>
      <c r="G47" s="85"/>
    </row>
    <row r="48" spans="1:7">
      <c r="A48" s="178" t="s">
        <v>31</v>
      </c>
      <c r="B48" s="85" t="s">
        <v>68</v>
      </c>
      <c r="C48" s="185">
        <v>0.025</v>
      </c>
      <c r="D48" s="183">
        <f t="shared" si="0"/>
        <v>59.31</v>
      </c>
      <c r="E48" s="85"/>
      <c r="F48" s="85"/>
      <c r="G48" s="85"/>
    </row>
    <row r="49" spans="1:7">
      <c r="A49" s="178" t="s">
        <v>34</v>
      </c>
      <c r="B49" s="85" t="s">
        <v>191</v>
      </c>
      <c r="C49" s="193">
        <v>0.06</v>
      </c>
      <c r="D49" s="180">
        <f t="shared" si="0"/>
        <v>142.35</v>
      </c>
      <c r="E49" s="85"/>
      <c r="F49" s="85"/>
      <c r="G49" s="85"/>
    </row>
    <row r="50" spans="1:7">
      <c r="A50" s="178" t="s">
        <v>36</v>
      </c>
      <c r="B50" s="85" t="s">
        <v>70</v>
      </c>
      <c r="C50" s="185">
        <v>0.015</v>
      </c>
      <c r="D50" s="183">
        <f t="shared" si="0"/>
        <v>35.58</v>
      </c>
      <c r="E50" s="85"/>
      <c r="F50" s="85"/>
      <c r="G50" s="85"/>
    </row>
    <row r="51" spans="1:7">
      <c r="A51" s="178" t="s">
        <v>39</v>
      </c>
      <c r="B51" s="85" t="s">
        <v>71</v>
      </c>
      <c r="C51" s="185">
        <v>0.01</v>
      </c>
      <c r="D51" s="183">
        <f t="shared" si="0"/>
        <v>23.72</v>
      </c>
      <c r="E51" s="85"/>
      <c r="F51" s="85"/>
      <c r="G51" s="85"/>
    </row>
    <row r="52" spans="1:7">
      <c r="A52" s="178" t="s">
        <v>41</v>
      </c>
      <c r="B52" s="85" t="s">
        <v>72</v>
      </c>
      <c r="C52" s="185">
        <v>0.006</v>
      </c>
      <c r="D52" s="183">
        <f t="shared" si="0"/>
        <v>14.23</v>
      </c>
      <c r="E52" s="85"/>
      <c r="F52" s="85"/>
      <c r="G52" s="85"/>
    </row>
    <row r="53" spans="1:7">
      <c r="A53" s="178" t="s">
        <v>73</v>
      </c>
      <c r="B53" s="85" t="s">
        <v>74</v>
      </c>
      <c r="C53" s="185">
        <v>0.002</v>
      </c>
      <c r="D53" s="183">
        <f t="shared" si="0"/>
        <v>4.74</v>
      </c>
      <c r="E53" s="85"/>
      <c r="F53" s="85"/>
      <c r="G53" s="85"/>
    </row>
    <row r="54" spans="1:7">
      <c r="A54" s="178" t="s">
        <v>75</v>
      </c>
      <c r="B54" s="85" t="s">
        <v>76</v>
      </c>
      <c r="C54" s="185">
        <v>0.08</v>
      </c>
      <c r="D54" s="183">
        <f t="shared" si="0"/>
        <v>189.81</v>
      </c>
      <c r="E54" s="85"/>
      <c r="F54" s="85"/>
      <c r="G54" s="85"/>
    </row>
    <row r="55" spans="1:7">
      <c r="A55" s="178" t="s">
        <v>44</v>
      </c>
      <c r="B55" s="85"/>
      <c r="C55" s="192">
        <f>SUM(C47:C54)</f>
        <v>0.398</v>
      </c>
      <c r="D55" s="183">
        <f>TRUNC((SUM(D47:D54)),2)</f>
        <v>944.26</v>
      </c>
      <c r="E55" s="85"/>
      <c r="F55" s="85"/>
      <c r="G55" s="85"/>
    </row>
    <row r="56" spans="1:7">
      <c r="A56" s="178"/>
      <c r="B56" s="85"/>
      <c r="C56" s="192"/>
      <c r="D56" s="183"/>
      <c r="E56" s="85"/>
      <c r="F56" s="85"/>
      <c r="G56" s="85"/>
    </row>
    <row r="57" spans="1:7">
      <c r="A57" s="177" t="s">
        <v>81</v>
      </c>
      <c r="B57" s="177"/>
      <c r="C57" s="177"/>
      <c r="D57" s="177"/>
      <c r="E57" s="85"/>
      <c r="F57" s="85"/>
      <c r="G57" s="85"/>
    </row>
    <row r="58" spans="1:7">
      <c r="A58" s="178" t="s">
        <v>82</v>
      </c>
      <c r="B58" s="85" t="s">
        <v>83</v>
      </c>
      <c r="C58" s="178" t="s">
        <v>4</v>
      </c>
      <c r="D58" s="178" t="s">
        <v>5</v>
      </c>
      <c r="E58" s="85"/>
      <c r="F58" s="85"/>
      <c r="G58" s="85"/>
    </row>
    <row r="59" spans="1:7">
      <c r="A59" s="178" t="s">
        <v>28</v>
      </c>
      <c r="B59" s="85" t="s">
        <v>84</v>
      </c>
      <c r="C59" s="179"/>
      <c r="D59" s="180">
        <v>0</v>
      </c>
      <c r="E59" s="85"/>
      <c r="F59" s="85"/>
      <c r="G59" s="85"/>
    </row>
    <row r="60" spans="1:7">
      <c r="A60" s="178" t="s">
        <v>31</v>
      </c>
      <c r="B60" s="85" t="s">
        <v>85</v>
      </c>
      <c r="C60" s="179" t="str">
        <f>C9</f>
        <v>CCT PB 000047/2021</v>
      </c>
      <c r="D60" s="180">
        <f>TRUNC((((22*18))-(((22*18))*0.2)),2)</f>
        <v>316.8</v>
      </c>
      <c r="E60" s="85"/>
      <c r="F60" s="85"/>
      <c r="G60" s="85"/>
    </row>
    <row r="61" spans="1:7">
      <c r="A61" s="178" t="s">
        <v>34</v>
      </c>
      <c r="B61" s="85" t="s">
        <v>86</v>
      </c>
      <c r="C61" s="179"/>
      <c r="D61" s="180">
        <v>0</v>
      </c>
      <c r="E61" s="85"/>
      <c r="F61" s="85"/>
      <c r="G61" s="85"/>
    </row>
    <row r="62" spans="1:7">
      <c r="A62" s="86" t="s">
        <v>36</v>
      </c>
      <c r="B62" s="195" t="s">
        <v>234</v>
      </c>
      <c r="C62" s="194"/>
      <c r="D62" s="194">
        <v>0</v>
      </c>
      <c r="E62" s="85"/>
      <c r="F62" s="195"/>
      <c r="G62" s="85"/>
    </row>
    <row r="63" spans="1:7">
      <c r="A63" s="178" t="s">
        <v>39</v>
      </c>
      <c r="B63" s="85" t="s">
        <v>193</v>
      </c>
      <c r="C63" s="179" t="str">
        <f>C9</f>
        <v>CCT PB 000047/2021</v>
      </c>
      <c r="D63" s="220">
        <v>15</v>
      </c>
      <c r="E63" s="85"/>
      <c r="F63" s="85"/>
      <c r="G63" s="85"/>
    </row>
    <row r="64" spans="1:7">
      <c r="A64" s="178" t="s">
        <v>41</v>
      </c>
      <c r="B64" s="197" t="s">
        <v>194</v>
      </c>
      <c r="C64" s="194" t="str">
        <f>C9</f>
        <v>CCT PB 000047/2021</v>
      </c>
      <c r="D64" s="220">
        <v>5</v>
      </c>
      <c r="E64" s="85"/>
      <c r="F64" s="85"/>
      <c r="G64" s="85"/>
    </row>
    <row r="65" spans="1:7">
      <c r="A65" s="178" t="s">
        <v>44</v>
      </c>
      <c r="B65" s="85"/>
      <c r="C65" s="85"/>
      <c r="D65" s="183">
        <f>TRUNC((SUM(D59:D64)),2)</f>
        <v>336.8</v>
      </c>
      <c r="E65" s="85"/>
      <c r="F65" s="85"/>
      <c r="G65" s="85"/>
    </row>
    <row r="66" spans="1:7">
      <c r="A66" s="178"/>
      <c r="B66" s="85"/>
      <c r="C66" s="85"/>
      <c r="D66" s="183"/>
      <c r="E66" s="85"/>
      <c r="F66" s="85"/>
      <c r="G66" s="85"/>
    </row>
    <row r="67" spans="1:7">
      <c r="A67" s="177" t="s">
        <v>91</v>
      </c>
      <c r="B67" s="177"/>
      <c r="C67" s="177"/>
      <c r="D67" s="177"/>
      <c r="E67" s="85"/>
      <c r="F67" s="85"/>
      <c r="G67" s="85"/>
    </row>
    <row r="68" spans="1:7">
      <c r="A68" s="178" t="s">
        <v>92</v>
      </c>
      <c r="B68" s="85" t="s">
        <v>93</v>
      </c>
      <c r="C68" s="178" t="s">
        <v>4</v>
      </c>
      <c r="D68" s="178" t="s">
        <v>5</v>
      </c>
      <c r="E68" s="85"/>
      <c r="F68" s="85"/>
      <c r="G68" s="85"/>
    </row>
    <row r="69" spans="1:7">
      <c r="A69" s="178" t="s">
        <v>51</v>
      </c>
      <c r="B69" s="85" t="s">
        <v>52</v>
      </c>
      <c r="C69" s="178"/>
      <c r="D69" s="183">
        <f>D39</f>
        <v>386.24</v>
      </c>
      <c r="E69" s="85"/>
      <c r="F69" s="85"/>
      <c r="G69" s="85"/>
    </row>
    <row r="70" spans="1:7">
      <c r="A70" s="178" t="s">
        <v>64</v>
      </c>
      <c r="B70" s="85" t="s">
        <v>65</v>
      </c>
      <c r="C70" s="178"/>
      <c r="D70" s="183">
        <f>D55</f>
        <v>944.26</v>
      </c>
      <c r="E70" s="85"/>
      <c r="F70" s="85"/>
      <c r="G70" s="85"/>
    </row>
    <row r="71" spans="1:7">
      <c r="A71" s="178" t="s">
        <v>82</v>
      </c>
      <c r="B71" s="85" t="s">
        <v>83</v>
      </c>
      <c r="C71" s="178"/>
      <c r="D71" s="183">
        <f>D65</f>
        <v>336.8</v>
      </c>
      <c r="E71" s="85"/>
      <c r="F71" s="85"/>
      <c r="G71" s="85"/>
    </row>
    <row r="72" spans="1:7">
      <c r="A72" s="178" t="s">
        <v>44</v>
      </c>
      <c r="B72" s="85"/>
      <c r="C72" s="178"/>
      <c r="D72" s="183">
        <f>TRUNC(SUM(D69:D71),2)</f>
        <v>1667.3</v>
      </c>
      <c r="E72" s="85"/>
      <c r="F72" s="85"/>
      <c r="G72" s="85"/>
    </row>
    <row r="73" spans="1:7">
      <c r="A73" s="85"/>
      <c r="B73" s="85"/>
      <c r="C73" s="85"/>
      <c r="D73" s="85"/>
      <c r="E73" s="85"/>
      <c r="F73" s="85"/>
      <c r="G73" s="85"/>
    </row>
    <row r="74" spans="1:7">
      <c r="A74" s="161" t="s">
        <v>94</v>
      </c>
      <c r="B74" s="161"/>
      <c r="C74" s="161"/>
      <c r="D74" s="161"/>
      <c r="E74" s="85"/>
      <c r="F74" s="85"/>
      <c r="G74" s="85"/>
    </row>
    <row r="75" spans="1:7">
      <c r="A75" s="178" t="s">
        <v>95</v>
      </c>
      <c r="B75" s="85" t="s">
        <v>96</v>
      </c>
      <c r="C75" s="178" t="s">
        <v>24</v>
      </c>
      <c r="D75" s="178" t="s">
        <v>5</v>
      </c>
      <c r="E75" s="85"/>
      <c r="F75" s="85"/>
      <c r="G75" s="85"/>
    </row>
    <row r="76" spans="1:7">
      <c r="A76" s="178" t="s">
        <v>28</v>
      </c>
      <c r="B76" s="85" t="s">
        <v>97</v>
      </c>
      <c r="C76" s="193">
        <f>((1/12)*5%)</f>
        <v>0.00416666666666667</v>
      </c>
      <c r="D76" s="180">
        <f t="shared" ref="D76:D79" si="1">TRUNC(($D$31*C76),2)</f>
        <v>8.27</v>
      </c>
      <c r="E76" s="85"/>
      <c r="F76" s="85"/>
      <c r="G76" s="85"/>
    </row>
    <row r="77" spans="1:7">
      <c r="A77" s="178" t="s">
        <v>31</v>
      </c>
      <c r="B77" s="85" t="s">
        <v>98</v>
      </c>
      <c r="C77" s="199">
        <v>0.08</v>
      </c>
      <c r="D77" s="183">
        <f>TRUNC(($D$76*C77),2)</f>
        <v>0.66</v>
      </c>
      <c r="E77" s="85"/>
      <c r="F77" s="85"/>
      <c r="G77" s="85"/>
    </row>
    <row r="78" ht="30" spans="1:7">
      <c r="A78" s="178" t="s">
        <v>34</v>
      </c>
      <c r="B78" s="200" t="s">
        <v>99</v>
      </c>
      <c r="C78" s="201">
        <f>(0.08*0.4*0.05)</f>
        <v>0.0016</v>
      </c>
      <c r="D78" s="194">
        <f t="shared" si="1"/>
        <v>3.17</v>
      </c>
      <c r="E78" s="85"/>
      <c r="F78" s="85"/>
      <c r="G78" s="85"/>
    </row>
    <row r="79" spans="1:7">
      <c r="A79" s="178" t="s">
        <v>36</v>
      </c>
      <c r="B79" s="85" t="s">
        <v>100</v>
      </c>
      <c r="C79" s="202">
        <f>(((7/30)/12)*0.95)</f>
        <v>0.0184722222222222</v>
      </c>
      <c r="D79" s="235">
        <f t="shared" si="1"/>
        <v>36.69</v>
      </c>
      <c r="E79" s="85"/>
      <c r="F79" s="85"/>
      <c r="G79" s="85"/>
    </row>
    <row r="80" ht="30" spans="1:7">
      <c r="A80" s="178" t="s">
        <v>39</v>
      </c>
      <c r="B80" s="200" t="s">
        <v>195</v>
      </c>
      <c r="C80" s="201">
        <f>C55</f>
        <v>0.398</v>
      </c>
      <c r="D80" s="194">
        <f>TRUNC(($D$79*C80),2)</f>
        <v>14.6</v>
      </c>
      <c r="E80" s="85"/>
      <c r="F80" s="85"/>
      <c r="G80" s="85"/>
    </row>
    <row r="81" ht="30" spans="1:7">
      <c r="A81" s="178" t="s">
        <v>41</v>
      </c>
      <c r="B81" s="200" t="s">
        <v>101</v>
      </c>
      <c r="C81" s="201">
        <f>(0.08*0.4*0.95)</f>
        <v>0.0304</v>
      </c>
      <c r="D81" s="194">
        <f>TRUNC(($D$31*C81),2)</f>
        <v>60.38</v>
      </c>
      <c r="E81" s="85"/>
      <c r="F81" s="85"/>
      <c r="G81" s="85"/>
    </row>
    <row r="82" spans="1:7">
      <c r="A82" s="178" t="s">
        <v>44</v>
      </c>
      <c r="B82" s="85"/>
      <c r="C82" s="199">
        <f>SUM(C76:C81)</f>
        <v>0.532638888888889</v>
      </c>
      <c r="D82" s="183">
        <f>TRUNC((SUM(D76:D81)),2)</f>
        <v>123.77</v>
      </c>
      <c r="E82" s="85"/>
      <c r="F82" s="85"/>
      <c r="G82" s="85"/>
    </row>
    <row r="83" ht="15.75" spans="1:7">
      <c r="A83" s="178"/>
      <c r="B83" s="85"/>
      <c r="C83" s="85"/>
      <c r="D83" s="183"/>
      <c r="E83" s="85"/>
      <c r="F83" s="85"/>
      <c r="G83" s="85"/>
    </row>
    <row r="84" ht="16.5" spans="1:7">
      <c r="A84" s="187" t="s">
        <v>196</v>
      </c>
      <c r="B84" s="187"/>
      <c r="C84" s="188" t="s">
        <v>188</v>
      </c>
      <c r="D84" s="189">
        <f>D31</f>
        <v>1986.4</v>
      </c>
      <c r="E84" s="85"/>
      <c r="F84" s="85"/>
      <c r="G84" s="85"/>
    </row>
    <row r="85" ht="16.5" spans="1:7">
      <c r="A85" s="187"/>
      <c r="B85" s="187"/>
      <c r="C85" s="190" t="s">
        <v>197</v>
      </c>
      <c r="D85" s="189">
        <f>D72</f>
        <v>1667.3</v>
      </c>
      <c r="E85" s="85"/>
      <c r="F85" s="85"/>
      <c r="G85" s="85"/>
    </row>
    <row r="86" ht="16.5" spans="1:7">
      <c r="A86" s="187"/>
      <c r="B86" s="187"/>
      <c r="C86" s="188" t="s">
        <v>198</v>
      </c>
      <c r="D86" s="189">
        <f>D82</f>
        <v>123.77</v>
      </c>
      <c r="E86" s="85"/>
      <c r="F86" s="85"/>
      <c r="G86" s="85"/>
    </row>
    <row r="87" ht="16.5" spans="1:7">
      <c r="A87" s="187"/>
      <c r="B87" s="187"/>
      <c r="C87" s="190" t="s">
        <v>190</v>
      </c>
      <c r="D87" s="191">
        <f>TRUNC((SUM(D84:D86)),2)</f>
        <v>3777.47</v>
      </c>
      <c r="E87" s="85"/>
      <c r="F87" s="85"/>
      <c r="G87" s="85"/>
    </row>
    <row r="88" ht="15.75" spans="1:7">
      <c r="A88" s="178"/>
      <c r="B88" s="85"/>
      <c r="C88" s="85"/>
      <c r="D88" s="183"/>
      <c r="E88" s="85"/>
      <c r="F88" s="85"/>
      <c r="G88" s="85"/>
    </row>
    <row r="89" spans="1:7">
      <c r="A89" s="204" t="s">
        <v>113</v>
      </c>
      <c r="B89" s="204"/>
      <c r="C89" s="204"/>
      <c r="D89" s="204"/>
      <c r="E89" s="85"/>
      <c r="F89" s="85"/>
      <c r="G89" s="85"/>
    </row>
    <row r="90" spans="1:7">
      <c r="A90" s="177" t="s">
        <v>114</v>
      </c>
      <c r="B90" s="177"/>
      <c r="C90" s="177"/>
      <c r="D90" s="177"/>
      <c r="E90" s="85"/>
      <c r="F90" s="85"/>
      <c r="G90" s="85"/>
    </row>
    <row r="91" spans="1:7">
      <c r="A91" s="178" t="s">
        <v>115</v>
      </c>
      <c r="B91" s="85" t="s">
        <v>116</v>
      </c>
      <c r="C91" s="178" t="s">
        <v>24</v>
      </c>
      <c r="D91" s="178" t="s">
        <v>5</v>
      </c>
      <c r="E91" s="85"/>
      <c r="F91" s="85"/>
      <c r="G91" s="85"/>
    </row>
    <row r="92" spans="1:7">
      <c r="A92" s="178" t="s">
        <v>28</v>
      </c>
      <c r="B92" s="85" t="s">
        <v>199</v>
      </c>
      <c r="C92" s="199">
        <f>(((1+1/3)/12)/12)+((1/12)/12)</f>
        <v>0.0162037037037037</v>
      </c>
      <c r="D92" s="183">
        <f t="shared" ref="D92:D96" si="2">TRUNC(($D$87*C92),2)</f>
        <v>61.2</v>
      </c>
      <c r="E92" s="85"/>
      <c r="F92" s="85"/>
      <c r="G92" s="85"/>
    </row>
    <row r="93" spans="1:7">
      <c r="A93" s="178" t="s">
        <v>31</v>
      </c>
      <c r="B93" s="85" t="s">
        <v>119</v>
      </c>
      <c r="C93" s="193">
        <f>((2/30)/12)</f>
        <v>0.00555555555555556</v>
      </c>
      <c r="D93" s="194">
        <f t="shared" si="2"/>
        <v>20.98</v>
      </c>
      <c r="E93" s="85"/>
      <c r="F93" s="85"/>
      <c r="G93" s="85"/>
    </row>
    <row r="94" spans="1:7">
      <c r="A94" s="178" t="s">
        <v>34</v>
      </c>
      <c r="B94" s="85" t="s">
        <v>120</v>
      </c>
      <c r="C94" s="193">
        <f>((5/30)/12)*0.02</f>
        <v>0.000277777777777778</v>
      </c>
      <c r="D94" s="194">
        <f t="shared" si="2"/>
        <v>1.04</v>
      </c>
      <c r="E94" s="85"/>
      <c r="F94" s="85"/>
      <c r="G94" s="85"/>
    </row>
    <row r="95" ht="30" spans="1:7">
      <c r="A95" s="86" t="s">
        <v>36</v>
      </c>
      <c r="B95" s="200" t="s">
        <v>121</v>
      </c>
      <c r="C95" s="201">
        <f>((15/30)/12)*0.08</f>
        <v>0.00333333333333333</v>
      </c>
      <c r="D95" s="194">
        <f t="shared" si="2"/>
        <v>12.59</v>
      </c>
      <c r="E95" s="85"/>
      <c r="F95" s="85"/>
      <c r="G95" s="85"/>
    </row>
    <row r="96" spans="1:7">
      <c r="A96" s="178" t="s">
        <v>39</v>
      </c>
      <c r="B96" s="85" t="s">
        <v>122</v>
      </c>
      <c r="C96" s="193">
        <f>((1+1/3)/12)*0.03*((4/12))</f>
        <v>0.00111111111111111</v>
      </c>
      <c r="D96" s="194">
        <f t="shared" si="2"/>
        <v>4.19</v>
      </c>
      <c r="E96" s="85"/>
      <c r="F96" s="85"/>
      <c r="G96" s="85"/>
    </row>
    <row r="97" spans="1:7">
      <c r="A97" s="178" t="s">
        <v>41</v>
      </c>
      <c r="B97" s="200" t="s">
        <v>200</v>
      </c>
      <c r="C97" s="205">
        <v>0</v>
      </c>
      <c r="D97" s="194">
        <f>TRUNC($D$87*C97)</f>
        <v>0</v>
      </c>
      <c r="E97" s="85"/>
      <c r="F97" s="85"/>
      <c r="G97" s="85"/>
    </row>
    <row r="98" spans="1:7">
      <c r="A98" s="178" t="s">
        <v>44</v>
      </c>
      <c r="B98" s="85"/>
      <c r="C98" s="199">
        <f>SUM(C92:C97)</f>
        <v>0.0264814814814815</v>
      </c>
      <c r="D98" s="183">
        <f>TRUNC((SUM(D92:D97)),2)</f>
        <v>100</v>
      </c>
      <c r="E98" s="85"/>
      <c r="F98" s="85"/>
      <c r="G98" s="85"/>
    </row>
    <row r="99" spans="1:7">
      <c r="A99" s="178"/>
      <c r="B99" s="85"/>
      <c r="C99" s="178"/>
      <c r="D99" s="183"/>
      <c r="E99" s="85"/>
      <c r="F99" s="85"/>
      <c r="G99" s="85"/>
    </row>
    <row r="100" spans="1:7">
      <c r="A100" s="177" t="s">
        <v>130</v>
      </c>
      <c r="B100" s="177"/>
      <c r="C100" s="177"/>
      <c r="D100" s="177"/>
      <c r="E100" s="85"/>
      <c r="F100" s="85"/>
      <c r="G100" s="85"/>
    </row>
    <row r="101" spans="1:7">
      <c r="A101" s="178" t="s">
        <v>131</v>
      </c>
      <c r="B101" s="85" t="s">
        <v>132</v>
      </c>
      <c r="C101" s="178" t="s">
        <v>4</v>
      </c>
      <c r="D101" s="178" t="s">
        <v>5</v>
      </c>
      <c r="E101" s="85"/>
      <c r="F101" s="85"/>
      <c r="G101" s="85"/>
    </row>
    <row r="102" ht="90" spans="1:7">
      <c r="A102" s="86" t="s">
        <v>28</v>
      </c>
      <c r="B102" s="206" t="s">
        <v>133</v>
      </c>
      <c r="C102" s="207" t="s">
        <v>201</v>
      </c>
      <c r="D102" s="208" t="s">
        <v>202</v>
      </c>
      <c r="E102" s="85"/>
      <c r="F102" s="85"/>
      <c r="G102" s="85"/>
    </row>
    <row r="103" spans="1:7">
      <c r="A103" s="178" t="s">
        <v>44</v>
      </c>
      <c r="B103" s="85"/>
      <c r="C103" s="178"/>
      <c r="D103" s="209" t="str">
        <f>D102</f>
        <v>*=TRUNCAR(($D$86/220)*(1*(365/12))/2)</v>
      </c>
      <c r="E103" s="85"/>
      <c r="F103" s="85"/>
      <c r="G103" s="85"/>
    </row>
    <row r="104" spans="1:7">
      <c r="A104" s="85"/>
      <c r="B104" s="85"/>
      <c r="C104" s="85"/>
      <c r="D104" s="85"/>
      <c r="E104" s="85"/>
      <c r="F104" s="85"/>
      <c r="G104" s="85"/>
    </row>
    <row r="105" spans="1:7">
      <c r="A105" s="177" t="s">
        <v>134</v>
      </c>
      <c r="B105" s="177"/>
      <c r="C105" s="177"/>
      <c r="D105" s="177"/>
      <c r="E105" s="85"/>
      <c r="F105" s="85"/>
      <c r="G105" s="85"/>
    </row>
    <row r="106" spans="1:7">
      <c r="A106" s="178" t="s">
        <v>135</v>
      </c>
      <c r="B106" s="85" t="s">
        <v>136</v>
      </c>
      <c r="C106" s="178" t="s">
        <v>4</v>
      </c>
      <c r="D106" s="178" t="s">
        <v>5</v>
      </c>
      <c r="E106" s="85"/>
      <c r="F106" s="85"/>
      <c r="G106" s="85"/>
    </row>
    <row r="107" spans="1:7">
      <c r="A107" s="178" t="s">
        <v>115</v>
      </c>
      <c r="B107" s="85" t="s">
        <v>116</v>
      </c>
      <c r="C107" s="85"/>
      <c r="D107" s="180">
        <f>D98</f>
        <v>100</v>
      </c>
      <c r="E107" s="85"/>
      <c r="F107" s="85"/>
      <c r="G107" s="85"/>
    </row>
    <row r="108" spans="1:7">
      <c r="A108" s="178" t="s">
        <v>131</v>
      </c>
      <c r="B108" s="85" t="s">
        <v>137</v>
      </c>
      <c r="C108" s="85"/>
      <c r="D108" s="210" t="str">
        <f>Submódulo4.260_8120[[#Totals],[Valor]]</f>
        <v>*=TRUNCAR(($D$86/220)*(1*(365/12))/2)</v>
      </c>
      <c r="E108" s="85"/>
      <c r="F108" s="85"/>
      <c r="G108" s="85"/>
    </row>
    <row r="109" ht="45" spans="1:7">
      <c r="A109" s="86" t="s">
        <v>44</v>
      </c>
      <c r="B109" s="195"/>
      <c r="C109" s="207" t="s">
        <v>203</v>
      </c>
      <c r="D109" s="198">
        <f>TRUNC((SUM(D107:D108)),2)</f>
        <v>100</v>
      </c>
      <c r="E109" s="85"/>
      <c r="F109" s="85"/>
      <c r="G109" s="85"/>
    </row>
    <row r="110" spans="1:7">
      <c r="A110" s="85"/>
      <c r="B110" s="85"/>
      <c r="C110" s="85"/>
      <c r="D110" s="85"/>
      <c r="E110" s="85"/>
      <c r="F110" s="85"/>
      <c r="G110" s="85"/>
    </row>
    <row r="111" spans="1:7">
      <c r="A111" s="161" t="s">
        <v>138</v>
      </c>
      <c r="B111" s="161"/>
      <c r="C111" s="161"/>
      <c r="D111" s="161"/>
      <c r="E111" s="85"/>
      <c r="F111" s="85"/>
      <c r="G111" s="85"/>
    </row>
    <row r="112" spans="1:7">
      <c r="A112" s="178" t="s">
        <v>139</v>
      </c>
      <c r="B112" s="85" t="s">
        <v>140</v>
      </c>
      <c r="C112" s="178" t="s">
        <v>4</v>
      </c>
      <c r="D112" s="178" t="s">
        <v>5</v>
      </c>
      <c r="E112" s="85"/>
      <c r="F112" s="85"/>
      <c r="G112" s="85"/>
    </row>
    <row r="113" spans="1:7">
      <c r="A113" s="178" t="s">
        <v>28</v>
      </c>
      <c r="B113" s="85" t="s">
        <v>204</v>
      </c>
      <c r="C113" s="85"/>
      <c r="D113" s="180">
        <f>Uniformes!G59</f>
        <v>200.28</v>
      </c>
      <c r="E113" s="85"/>
      <c r="F113" s="85"/>
      <c r="G113" s="85"/>
    </row>
    <row r="114" spans="1:7">
      <c r="A114" s="178" t="s">
        <v>31</v>
      </c>
      <c r="B114" s="85" t="s">
        <v>205</v>
      </c>
      <c r="C114" s="85"/>
      <c r="D114" s="180">
        <f>EPC!E21</f>
        <v>8.97</v>
      </c>
      <c r="E114" s="85"/>
      <c r="F114" s="85"/>
      <c r="G114" s="85"/>
    </row>
    <row r="115" spans="1:7">
      <c r="A115" s="178" t="s">
        <v>34</v>
      </c>
      <c r="B115" s="85" t="s">
        <v>142</v>
      </c>
      <c r="C115" s="85"/>
      <c r="D115" s="180">
        <f>'Materiais e Equipamentos'!E93</f>
        <v>88.39</v>
      </c>
      <c r="E115" s="85"/>
      <c r="F115" s="85"/>
      <c r="G115" s="85"/>
    </row>
    <row r="116" spans="1:7">
      <c r="A116" s="178" t="s">
        <v>36</v>
      </c>
      <c r="B116" s="85" t="s">
        <v>143</v>
      </c>
      <c r="C116" s="85"/>
      <c r="D116" s="180">
        <f>'Materiais e Equipamentos'!F124</f>
        <v>20.4</v>
      </c>
      <c r="E116" s="85"/>
      <c r="F116" s="85"/>
      <c r="G116" s="85"/>
    </row>
    <row r="117" spans="1:7">
      <c r="A117" s="178" t="s">
        <v>39</v>
      </c>
      <c r="B117" s="85" t="s">
        <v>42</v>
      </c>
      <c r="C117" s="85"/>
      <c r="D117" s="180">
        <f>H116</f>
        <v>0</v>
      </c>
      <c r="E117" s="85"/>
      <c r="F117" s="85"/>
      <c r="G117" s="85"/>
    </row>
    <row r="118" spans="1:7">
      <c r="A118" s="178" t="s">
        <v>44</v>
      </c>
      <c r="B118" s="85"/>
      <c r="C118" s="85"/>
      <c r="D118" s="183">
        <f>TRUNC(SUM((D113:D117)),2)</f>
        <v>318.04</v>
      </c>
      <c r="E118" s="85"/>
      <c r="F118" s="85"/>
      <c r="G118" s="85"/>
    </row>
    <row r="119" ht="15.75" spans="1:7">
      <c r="A119" s="85"/>
      <c r="B119" s="85"/>
      <c r="C119" s="85"/>
      <c r="D119" s="85"/>
      <c r="E119" s="85"/>
      <c r="F119" s="85"/>
      <c r="G119" s="85"/>
    </row>
    <row r="120" ht="16.5" spans="1:7">
      <c r="A120" s="187" t="s">
        <v>207</v>
      </c>
      <c r="B120" s="187"/>
      <c r="C120" s="188" t="s">
        <v>188</v>
      </c>
      <c r="D120" s="189">
        <f>D31</f>
        <v>1986.4</v>
      </c>
      <c r="E120" s="85"/>
      <c r="F120" s="85"/>
      <c r="G120" s="85"/>
    </row>
    <row r="121" ht="16.5" spans="1:7">
      <c r="A121" s="187"/>
      <c r="B121" s="187"/>
      <c r="C121" s="190" t="s">
        <v>197</v>
      </c>
      <c r="D121" s="189">
        <f>D72</f>
        <v>1667.3</v>
      </c>
      <c r="E121" s="85"/>
      <c r="F121" s="85"/>
      <c r="G121" s="85"/>
    </row>
    <row r="122" ht="16.5" spans="1:7">
      <c r="A122" s="187"/>
      <c r="B122" s="187"/>
      <c r="C122" s="188" t="s">
        <v>198</v>
      </c>
      <c r="D122" s="189">
        <f>D82</f>
        <v>123.77</v>
      </c>
      <c r="E122" s="85"/>
      <c r="F122" s="85"/>
      <c r="G122" s="85"/>
    </row>
    <row r="123" ht="16.5" spans="1:7">
      <c r="A123" s="187"/>
      <c r="B123" s="187"/>
      <c r="C123" s="190" t="s">
        <v>208</v>
      </c>
      <c r="D123" s="189">
        <f>D109</f>
        <v>100</v>
      </c>
      <c r="E123" s="85"/>
      <c r="F123" s="85"/>
      <c r="G123" s="85"/>
    </row>
    <row r="124" ht="16.5" spans="1:7">
      <c r="A124" s="187"/>
      <c r="B124" s="187"/>
      <c r="C124" s="188" t="s">
        <v>209</v>
      </c>
      <c r="D124" s="189">
        <f>D118</f>
        <v>318.04</v>
      </c>
      <c r="E124" s="85"/>
      <c r="F124" s="85"/>
      <c r="G124" s="85"/>
    </row>
    <row r="125" ht="16.5" spans="1:7">
      <c r="A125" s="187"/>
      <c r="B125" s="187"/>
      <c r="C125" s="190" t="s">
        <v>190</v>
      </c>
      <c r="D125" s="191">
        <f>TRUNC((SUM(D120:D124)),2)</f>
        <v>4195.51</v>
      </c>
      <c r="E125" s="85"/>
      <c r="F125" s="85"/>
      <c r="G125" s="85"/>
    </row>
    <row r="126" ht="15.75" spans="1:7">
      <c r="A126" s="85"/>
      <c r="B126" s="85"/>
      <c r="C126" s="85"/>
      <c r="D126" s="85"/>
      <c r="E126" s="85"/>
      <c r="F126" s="85"/>
      <c r="G126" s="85"/>
    </row>
    <row r="127" spans="1:7">
      <c r="A127" s="161" t="s">
        <v>150</v>
      </c>
      <c r="B127" s="161"/>
      <c r="C127" s="161"/>
      <c r="D127" s="161"/>
      <c r="E127" s="85"/>
      <c r="F127" s="85"/>
      <c r="G127" s="85"/>
    </row>
    <row r="128" ht="15.75" spans="1:7">
      <c r="A128" s="178" t="s">
        <v>151</v>
      </c>
      <c r="B128" s="85" t="s">
        <v>152</v>
      </c>
      <c r="C128" s="178" t="s">
        <v>24</v>
      </c>
      <c r="D128" s="178" t="s">
        <v>5</v>
      </c>
      <c r="E128" s="85"/>
      <c r="F128" s="211" t="s">
        <v>210</v>
      </c>
      <c r="G128" s="211"/>
    </row>
    <row r="129" ht="15.75" spans="1:7">
      <c r="A129" s="178" t="s">
        <v>28</v>
      </c>
      <c r="B129" s="85" t="s">
        <v>153</v>
      </c>
      <c r="C129" s="193">
        <v>0.044</v>
      </c>
      <c r="D129" s="180">
        <f>TRUNC(($D$125*C129),2)</f>
        <v>184.6</v>
      </c>
      <c r="E129" s="85"/>
      <c r="F129" s="212" t="s">
        <v>211</v>
      </c>
      <c r="G129" s="201">
        <f>C131</f>
        <v>0.0865</v>
      </c>
    </row>
    <row r="130" ht="15.75" spans="1:7">
      <c r="A130" s="178" t="s">
        <v>31</v>
      </c>
      <c r="B130" s="85" t="s">
        <v>45</v>
      </c>
      <c r="C130" s="193">
        <v>0.0413</v>
      </c>
      <c r="D130" s="180">
        <f>TRUNC((C130*(D125+D129)),2)</f>
        <v>180.89</v>
      </c>
      <c r="E130" s="85"/>
      <c r="F130" s="213" t="s">
        <v>212</v>
      </c>
      <c r="G130" s="236">
        <f>TRUNC(SUM(D125,D129,D130),2)</f>
        <v>4561</v>
      </c>
    </row>
    <row r="131" ht="15.75" spans="1:7">
      <c r="A131" s="178" t="s">
        <v>34</v>
      </c>
      <c r="B131" s="85" t="s">
        <v>154</v>
      </c>
      <c r="C131" s="193">
        <f>SUM(C132:C134)</f>
        <v>0.0865</v>
      </c>
      <c r="D131" s="180">
        <f>TRUNC((SUM(D132:D134)),2)</f>
        <v>431.87</v>
      </c>
      <c r="E131" s="85"/>
      <c r="F131" s="212" t="s">
        <v>213</v>
      </c>
      <c r="G131" s="215">
        <f>(100-8.65)/100</f>
        <v>0.9135</v>
      </c>
    </row>
    <row r="132" ht="15.75" spans="1:7">
      <c r="A132" s="178"/>
      <c r="B132" s="85" t="s">
        <v>214</v>
      </c>
      <c r="C132" s="193">
        <v>0.0065</v>
      </c>
      <c r="D132" s="180">
        <f t="shared" ref="D132:D134" si="3">TRUNC(($G$132*C132),2)</f>
        <v>32.45</v>
      </c>
      <c r="E132" s="85"/>
      <c r="F132" s="213" t="s">
        <v>210</v>
      </c>
      <c r="G132" s="236">
        <f>TRUNC((G130/G131),2)</f>
        <v>4992.88</v>
      </c>
    </row>
    <row r="133" ht="15.75" spans="1:7">
      <c r="A133" s="178"/>
      <c r="B133" s="85" t="s">
        <v>215</v>
      </c>
      <c r="C133" s="193">
        <v>0.03</v>
      </c>
      <c r="D133" s="180">
        <f t="shared" si="3"/>
        <v>149.78</v>
      </c>
      <c r="E133" s="85"/>
      <c r="F133" s="85"/>
      <c r="G133" s="85"/>
    </row>
    <row r="134" spans="1:7">
      <c r="A134" s="178"/>
      <c r="B134" s="85" t="s">
        <v>216</v>
      </c>
      <c r="C134" s="193">
        <v>0.05</v>
      </c>
      <c r="D134" s="180">
        <f t="shared" si="3"/>
        <v>249.64</v>
      </c>
      <c r="E134" s="85"/>
      <c r="F134" s="85"/>
      <c r="G134" s="85"/>
    </row>
    <row r="135" spans="1:7">
      <c r="A135" s="178" t="s">
        <v>44</v>
      </c>
      <c r="B135" s="85"/>
      <c r="C135" s="178"/>
      <c r="D135" s="183">
        <f>TRUNC(SUM(D129:D131),2)</f>
        <v>797.36</v>
      </c>
      <c r="E135" s="85"/>
      <c r="F135" s="85"/>
      <c r="G135" s="85"/>
    </row>
    <row r="136" spans="1:7">
      <c r="A136" s="178"/>
      <c r="B136" s="85"/>
      <c r="C136" s="178"/>
      <c r="D136" s="183"/>
      <c r="E136" s="85"/>
      <c r="F136" s="85"/>
      <c r="G136" s="85"/>
    </row>
    <row r="137" spans="1:7">
      <c r="A137" s="85"/>
      <c r="B137" s="85"/>
      <c r="C137" s="85"/>
      <c r="D137" s="85"/>
      <c r="E137" s="85"/>
      <c r="F137" s="85"/>
      <c r="G137" s="85"/>
    </row>
    <row r="138" spans="1:7">
      <c r="A138" s="161" t="s">
        <v>158</v>
      </c>
      <c r="B138" s="161"/>
      <c r="C138" s="161"/>
      <c r="D138" s="161"/>
      <c r="E138" s="85"/>
      <c r="F138" s="85"/>
      <c r="G138" s="85"/>
    </row>
    <row r="139" spans="1:7">
      <c r="A139" s="178" t="s">
        <v>2</v>
      </c>
      <c r="B139" s="178" t="s">
        <v>159</v>
      </c>
      <c r="C139" s="178" t="s">
        <v>88</v>
      </c>
      <c r="D139" s="178" t="s">
        <v>5</v>
      </c>
      <c r="E139" s="85"/>
      <c r="F139" s="85"/>
      <c r="G139" s="85"/>
    </row>
    <row r="140" spans="1:7">
      <c r="A140" s="178" t="s">
        <v>28</v>
      </c>
      <c r="B140" s="85" t="s">
        <v>22</v>
      </c>
      <c r="C140" s="85"/>
      <c r="D140" s="183">
        <f>D31</f>
        <v>1986.4</v>
      </c>
      <c r="E140" s="85"/>
      <c r="F140" s="85"/>
      <c r="G140" s="85"/>
    </row>
    <row r="141" spans="1:7">
      <c r="A141" s="178" t="s">
        <v>31</v>
      </c>
      <c r="B141" s="85" t="s">
        <v>47</v>
      </c>
      <c r="C141" s="85"/>
      <c r="D141" s="183">
        <f>D72</f>
        <v>1667.3</v>
      </c>
      <c r="E141" s="85"/>
      <c r="F141" s="85"/>
      <c r="G141" s="85"/>
    </row>
    <row r="142" spans="1:7">
      <c r="A142" s="178" t="s">
        <v>34</v>
      </c>
      <c r="B142" s="85" t="s">
        <v>94</v>
      </c>
      <c r="C142" s="85"/>
      <c r="D142" s="183">
        <f>D82</f>
        <v>123.77</v>
      </c>
      <c r="E142" s="85"/>
      <c r="F142" s="85"/>
      <c r="G142" s="85"/>
    </row>
    <row r="143" spans="1:7">
      <c r="A143" s="178" t="s">
        <v>36</v>
      </c>
      <c r="B143" s="85" t="s">
        <v>160</v>
      </c>
      <c r="C143" s="85"/>
      <c r="D143" s="183">
        <f>D109</f>
        <v>100</v>
      </c>
      <c r="E143" s="85"/>
      <c r="F143" s="85"/>
      <c r="G143" s="85"/>
    </row>
    <row r="144" spans="1:7">
      <c r="A144" s="178" t="s">
        <v>39</v>
      </c>
      <c r="B144" s="85" t="s">
        <v>138</v>
      </c>
      <c r="C144" s="85"/>
      <c r="D144" s="183">
        <f>D118</f>
        <v>318.04</v>
      </c>
      <c r="E144" s="85"/>
      <c r="F144" s="85"/>
      <c r="G144" s="85"/>
    </row>
    <row r="145" spans="1:7">
      <c r="A145" s="85"/>
      <c r="B145" s="216" t="s">
        <v>161</v>
      </c>
      <c r="C145" s="85"/>
      <c r="D145" s="183">
        <f>TRUNC(SUM(D140:D144),2)</f>
        <v>4195.51</v>
      </c>
      <c r="E145" s="85"/>
      <c r="F145" s="85"/>
      <c r="G145" s="85"/>
    </row>
    <row r="146" spans="1:7">
      <c r="A146" s="178" t="s">
        <v>41</v>
      </c>
      <c r="B146" s="85" t="s">
        <v>150</v>
      </c>
      <c r="C146" s="85"/>
      <c r="D146" s="183">
        <f>D135</f>
        <v>797.36</v>
      </c>
      <c r="E146" s="85"/>
      <c r="F146" s="85"/>
      <c r="G146" s="85"/>
    </row>
    <row r="147" spans="1:7">
      <c r="A147" s="217"/>
      <c r="B147" s="218" t="s">
        <v>217</v>
      </c>
      <c r="C147" s="217"/>
      <c r="D147" s="219">
        <f>TRUNC((SUM(D140:D144)+D146),2)</f>
        <v>4992.87</v>
      </c>
      <c r="E147" s="85"/>
      <c r="F147" s="85"/>
      <c r="G147" s="85"/>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7"/>
  <sheetViews>
    <sheetView topLeftCell="A129" workbookViewId="0">
      <selection activeCell="A2" sqref="A2:D147"/>
    </sheetView>
  </sheetViews>
  <sheetFormatPr defaultColWidth="9.14285714285714" defaultRowHeight="15" outlineLevelCol="6"/>
  <cols>
    <col min="1" max="1" width="10.7142857142857" customWidth="1"/>
    <col min="2" max="2" width="54.8571428571429" customWidth="1"/>
    <col min="3" max="3" width="29.4285714285714" customWidth="1"/>
    <col min="4" max="4" width="31" customWidth="1"/>
    <col min="6" max="6" width="21.4285714285714" customWidth="1"/>
    <col min="7" max="7" width="16.4285714285714" customWidth="1"/>
  </cols>
  <sheetData>
    <row r="1" spans="1:7">
      <c r="A1" s="85"/>
      <c r="B1" s="85"/>
      <c r="C1" s="85"/>
      <c r="D1" s="85"/>
      <c r="E1" s="85"/>
      <c r="F1" s="85"/>
      <c r="G1" s="85"/>
    </row>
    <row r="2" ht="19.5" spans="1:7">
      <c r="A2" s="154" t="s">
        <v>163</v>
      </c>
      <c r="B2" s="154"/>
      <c r="C2" s="154"/>
      <c r="D2" s="154"/>
      <c r="E2" s="85"/>
      <c r="F2" s="85"/>
      <c r="G2" s="85"/>
    </row>
    <row r="3" ht="15.75" spans="1:7">
      <c r="A3" s="155" t="s">
        <v>228</v>
      </c>
      <c r="B3" s="155"/>
      <c r="C3" s="155"/>
      <c r="D3" s="155"/>
      <c r="E3" s="85"/>
      <c r="F3" s="85"/>
      <c r="G3" s="85"/>
    </row>
    <row r="4" spans="1:7">
      <c r="A4" s="156" t="s">
        <v>165</v>
      </c>
      <c r="B4" s="157" t="s">
        <v>166</v>
      </c>
      <c r="C4" s="158"/>
      <c r="D4" s="158"/>
      <c r="E4" s="85"/>
      <c r="F4" s="85"/>
      <c r="G4" s="85"/>
    </row>
    <row r="5" spans="1:7">
      <c r="A5" s="159"/>
      <c r="B5" s="160"/>
      <c r="C5" s="160"/>
      <c r="D5" s="160"/>
      <c r="E5" s="85"/>
      <c r="F5" s="85"/>
      <c r="G5" s="85"/>
    </row>
    <row r="6" ht="15.75" spans="1:7">
      <c r="A6" s="161" t="s">
        <v>167</v>
      </c>
      <c r="B6" s="161"/>
      <c r="C6" s="161"/>
      <c r="D6" s="161"/>
      <c r="E6" s="85"/>
      <c r="F6" s="85"/>
      <c r="G6" s="85"/>
    </row>
    <row r="7" ht="15.75" spans="1:7">
      <c r="A7" s="162" t="s">
        <v>28</v>
      </c>
      <c r="B7" s="163" t="s">
        <v>168</v>
      </c>
      <c r="C7" s="164" t="s">
        <v>169</v>
      </c>
      <c r="D7" s="164"/>
      <c r="E7" s="85"/>
      <c r="F7" s="85"/>
      <c r="G7" s="85"/>
    </row>
    <row r="8" spans="1:7">
      <c r="A8" s="165" t="s">
        <v>31</v>
      </c>
      <c r="B8" s="166" t="s">
        <v>170</v>
      </c>
      <c r="C8" s="167" t="s">
        <v>171</v>
      </c>
      <c r="D8" s="167"/>
      <c r="E8" s="85"/>
      <c r="F8" s="85"/>
      <c r="G8" s="85"/>
    </row>
    <row r="9" spans="1:7">
      <c r="A9" s="168" t="s">
        <v>34</v>
      </c>
      <c r="B9" s="169" t="s">
        <v>172</v>
      </c>
      <c r="C9" s="167" t="s">
        <v>229</v>
      </c>
      <c r="D9" s="167"/>
      <c r="E9" s="85"/>
      <c r="F9" s="85"/>
      <c r="G9" s="85"/>
    </row>
    <row r="10" spans="1:7">
      <c r="A10" s="165" t="s">
        <v>39</v>
      </c>
      <c r="B10" s="166" t="s">
        <v>174</v>
      </c>
      <c r="C10" s="167" t="s">
        <v>175</v>
      </c>
      <c r="D10" s="167"/>
      <c r="E10" s="85"/>
      <c r="F10" s="85"/>
      <c r="G10" s="85"/>
    </row>
    <row r="11" ht="15.75" spans="1:7">
      <c r="A11" s="170" t="s">
        <v>176</v>
      </c>
      <c r="B11" s="170"/>
      <c r="C11" s="170"/>
      <c r="D11" s="170"/>
      <c r="E11" s="85"/>
      <c r="F11" s="85"/>
      <c r="G11" s="85"/>
    </row>
    <row r="12" ht="16.5" spans="1:7">
      <c r="A12" s="171" t="s">
        <v>177</v>
      </c>
      <c r="B12" s="171"/>
      <c r="C12" s="170" t="s">
        <v>178</v>
      </c>
      <c r="D12" s="172" t="s">
        <v>179</v>
      </c>
      <c r="E12" s="85"/>
      <c r="F12" s="85"/>
      <c r="G12" s="85"/>
    </row>
    <row r="13" ht="15.75" spans="1:7">
      <c r="A13" s="173" t="s">
        <v>235</v>
      </c>
      <c r="B13" s="173"/>
      <c r="C13" s="167" t="s">
        <v>181</v>
      </c>
      <c r="D13" s="174">
        <f>RESUMO!D7</f>
        <v>1</v>
      </c>
      <c r="E13" s="85"/>
      <c r="F13" s="85"/>
      <c r="G13" s="85"/>
    </row>
    <row r="14" spans="1:7">
      <c r="A14" s="175"/>
      <c r="B14" s="175"/>
      <c r="C14" s="167"/>
      <c r="D14" s="176"/>
      <c r="E14" s="85"/>
      <c r="F14" s="85"/>
      <c r="G14" s="85"/>
    </row>
    <row r="15" ht="15.75" spans="1:7">
      <c r="A15" s="170" t="s">
        <v>0</v>
      </c>
      <c r="B15" s="170"/>
      <c r="C15" s="170"/>
      <c r="D15" s="170"/>
      <c r="E15" s="85"/>
      <c r="F15" s="177"/>
      <c r="G15" s="177"/>
    </row>
    <row r="16" ht="15.75" spans="1:7">
      <c r="A16" s="178" t="s">
        <v>2</v>
      </c>
      <c r="B16" s="85" t="s">
        <v>3</v>
      </c>
      <c r="C16" s="178" t="s">
        <v>4</v>
      </c>
      <c r="D16" s="178" t="s">
        <v>5</v>
      </c>
      <c r="E16" s="85"/>
      <c r="F16" s="85"/>
      <c r="G16" s="85"/>
    </row>
    <row r="17" spans="1:7">
      <c r="A17" s="178">
        <v>1</v>
      </c>
      <c r="B17" s="85" t="s">
        <v>6</v>
      </c>
      <c r="C17" s="179" t="s">
        <v>88</v>
      </c>
      <c r="D17" s="179" t="str">
        <f>A13</f>
        <v>Pedreiro</v>
      </c>
      <c r="E17" s="85"/>
      <c r="F17" s="85"/>
      <c r="G17" s="85"/>
    </row>
    <row r="18" spans="1:7">
      <c r="A18" s="178">
        <v>2</v>
      </c>
      <c r="B18" s="85" t="s">
        <v>9</v>
      </c>
      <c r="C18" s="179" t="s">
        <v>182</v>
      </c>
      <c r="D18" s="179" t="s">
        <v>236</v>
      </c>
      <c r="E18" s="85"/>
      <c r="F18" s="85"/>
      <c r="G18" s="85"/>
    </row>
    <row r="19" spans="1:7">
      <c r="A19" s="178">
        <v>3</v>
      </c>
      <c r="B19" s="85" t="s">
        <v>12</v>
      </c>
      <c r="C19" s="179" t="str">
        <f>C9</f>
        <v>CCT PB 000047/2021</v>
      </c>
      <c r="D19" s="180">
        <v>1528</v>
      </c>
      <c r="E19" s="85"/>
      <c r="F19" s="85"/>
      <c r="G19" s="85"/>
    </row>
    <row r="20" spans="1:7">
      <c r="A20" s="178">
        <v>4</v>
      </c>
      <c r="B20" s="85" t="s">
        <v>15</v>
      </c>
      <c r="C20" s="179" t="str">
        <f>C9</f>
        <v>CCT PB 000047/2021</v>
      </c>
      <c r="D20" s="179" t="s">
        <v>184</v>
      </c>
      <c r="E20" s="85"/>
      <c r="F20" s="85"/>
      <c r="G20" s="85"/>
    </row>
    <row r="21" spans="1:7">
      <c r="A21" s="178">
        <v>5</v>
      </c>
      <c r="B21" s="85" t="s">
        <v>19</v>
      </c>
      <c r="C21" s="179" t="str">
        <f>C9</f>
        <v>CCT PB 000047/2021</v>
      </c>
      <c r="D21" s="181" t="s">
        <v>185</v>
      </c>
      <c r="E21" s="85"/>
      <c r="F21" s="85"/>
      <c r="G21" s="85"/>
    </row>
    <row r="22" spans="1:7">
      <c r="A22" s="85"/>
      <c r="B22" s="85"/>
      <c r="C22" s="85"/>
      <c r="D22" s="85"/>
      <c r="E22" s="85"/>
      <c r="F22" s="177"/>
      <c r="G22" s="177"/>
    </row>
    <row r="23" spans="1:7">
      <c r="A23" s="161" t="s">
        <v>22</v>
      </c>
      <c r="B23" s="161"/>
      <c r="C23" s="161"/>
      <c r="D23" s="161"/>
      <c r="E23" s="85"/>
      <c r="F23" s="85"/>
      <c r="G23" s="85"/>
    </row>
    <row r="24" spans="1:7">
      <c r="A24" s="178" t="s">
        <v>25</v>
      </c>
      <c r="B24" s="85" t="s">
        <v>26</v>
      </c>
      <c r="C24" s="178" t="s">
        <v>4</v>
      </c>
      <c r="D24" s="178" t="s">
        <v>5</v>
      </c>
      <c r="E24" s="85"/>
      <c r="F24" s="85"/>
      <c r="G24" s="182"/>
    </row>
    <row r="25" spans="1:7">
      <c r="A25" s="178" t="s">
        <v>28</v>
      </c>
      <c r="B25" s="85" t="s">
        <v>29</v>
      </c>
      <c r="C25" s="179" t="s">
        <v>232</v>
      </c>
      <c r="D25" s="180">
        <f>D19</f>
        <v>1528</v>
      </c>
      <c r="E25" s="85"/>
      <c r="F25" s="85"/>
      <c r="G25" s="182"/>
    </row>
    <row r="26" spans="1:7">
      <c r="A26" s="178" t="s">
        <v>31</v>
      </c>
      <c r="B26" s="85" t="s">
        <v>32</v>
      </c>
      <c r="C26" s="179"/>
      <c r="D26" s="180">
        <v>0</v>
      </c>
      <c r="E26" s="85"/>
      <c r="F26" s="85"/>
      <c r="G26" s="182"/>
    </row>
    <row r="27" spans="1:7">
      <c r="A27" s="178" t="s">
        <v>34</v>
      </c>
      <c r="B27" s="85" t="s">
        <v>35</v>
      </c>
      <c r="C27" s="179"/>
      <c r="D27" s="180">
        <v>0</v>
      </c>
      <c r="E27" s="85"/>
      <c r="F27" s="85"/>
      <c r="G27" s="85"/>
    </row>
    <row r="28" spans="1:7">
      <c r="A28" s="178" t="s">
        <v>36</v>
      </c>
      <c r="B28" s="85" t="s">
        <v>37</v>
      </c>
      <c r="C28" s="179"/>
      <c r="D28" s="180">
        <v>0</v>
      </c>
      <c r="E28" s="85"/>
      <c r="F28" s="85"/>
      <c r="G28" s="85"/>
    </row>
    <row r="29" spans="1:7">
      <c r="A29" s="178" t="s">
        <v>39</v>
      </c>
      <c r="B29" s="85" t="s">
        <v>40</v>
      </c>
      <c r="C29" s="179"/>
      <c r="D29" s="180">
        <v>0</v>
      </c>
      <c r="E29" s="85"/>
      <c r="F29" s="85"/>
      <c r="G29" s="85"/>
    </row>
    <row r="30" spans="1:7">
      <c r="A30" s="178" t="s">
        <v>41</v>
      </c>
      <c r="B30" s="85" t="s">
        <v>42</v>
      </c>
      <c r="C30" s="179"/>
      <c r="D30" s="180">
        <v>0</v>
      </c>
      <c r="E30" s="85"/>
      <c r="F30" s="85"/>
      <c r="G30" s="85"/>
    </row>
    <row r="31" spans="1:7">
      <c r="A31" s="178" t="s">
        <v>44</v>
      </c>
      <c r="B31" s="85"/>
      <c r="C31" s="178"/>
      <c r="D31" s="183">
        <f>TRUNC(SUM(D25:D30),2)</f>
        <v>1528</v>
      </c>
      <c r="E31" s="85"/>
      <c r="F31" s="177"/>
      <c r="G31" s="177"/>
    </row>
    <row r="32" spans="1:7">
      <c r="A32" s="85"/>
      <c r="B32" s="85"/>
      <c r="C32" s="85"/>
      <c r="D32" s="85"/>
      <c r="E32" s="85"/>
      <c r="F32" s="85"/>
      <c r="G32" s="85"/>
    </row>
    <row r="33" spans="1:7">
      <c r="A33" s="184" t="s">
        <v>47</v>
      </c>
      <c r="B33" s="184"/>
      <c r="C33" s="184"/>
      <c r="D33" s="184"/>
      <c r="E33" s="85"/>
      <c r="F33" s="85"/>
      <c r="G33" s="182"/>
    </row>
    <row r="34" spans="1:7">
      <c r="A34" s="85"/>
      <c r="B34" s="85"/>
      <c r="C34" s="85"/>
      <c r="D34" s="85"/>
      <c r="E34" s="85"/>
      <c r="F34" s="85"/>
      <c r="G34" s="85"/>
    </row>
    <row r="35" spans="1:7">
      <c r="A35" s="177" t="s">
        <v>49</v>
      </c>
      <c r="B35" s="177"/>
      <c r="C35" s="177"/>
      <c r="D35" s="177"/>
      <c r="E35" s="85"/>
      <c r="F35" s="85"/>
      <c r="G35" s="85"/>
    </row>
    <row r="36" spans="1:7">
      <c r="A36" s="178" t="s">
        <v>51</v>
      </c>
      <c r="B36" s="85" t="s">
        <v>52</v>
      </c>
      <c r="C36" s="178" t="s">
        <v>24</v>
      </c>
      <c r="D36" s="178" t="s">
        <v>5</v>
      </c>
      <c r="E36" s="85"/>
      <c r="F36" s="85"/>
      <c r="G36" s="85"/>
    </row>
    <row r="37" spans="1:7">
      <c r="A37" s="178" t="s">
        <v>28</v>
      </c>
      <c r="B37" s="85" t="s">
        <v>53</v>
      </c>
      <c r="C37" s="185">
        <f>(1/12)</f>
        <v>0.0833333333333333</v>
      </c>
      <c r="D37" s="183">
        <f>TRUNC($D$31*C37,2)</f>
        <v>127.33</v>
      </c>
      <c r="E37" s="85"/>
      <c r="F37" s="186"/>
      <c r="G37" s="186"/>
    </row>
    <row r="38" spans="1:7">
      <c r="A38" s="178" t="s">
        <v>31</v>
      </c>
      <c r="B38" s="85" t="s">
        <v>54</v>
      </c>
      <c r="C38" s="185">
        <f>(((1+1/3)/12))</f>
        <v>0.111111111111111</v>
      </c>
      <c r="D38" s="183">
        <f>TRUNC($D$31*C38,2)</f>
        <v>169.77</v>
      </c>
      <c r="E38" s="85"/>
      <c r="F38" s="186"/>
      <c r="G38" s="186"/>
    </row>
    <row r="39" spans="1:7">
      <c r="A39" s="178" t="s">
        <v>44</v>
      </c>
      <c r="B39" s="85"/>
      <c r="C39" s="85"/>
      <c r="D39" s="183">
        <f>TRUNC((SUM(D37:D38)),2)</f>
        <v>297.1</v>
      </c>
      <c r="E39" s="85"/>
      <c r="F39" s="186"/>
      <c r="G39" s="186"/>
    </row>
    <row r="40" ht="15.75" spans="1:7">
      <c r="A40" s="85"/>
      <c r="B40" s="85"/>
      <c r="C40" s="85"/>
      <c r="D40" s="183"/>
      <c r="E40" s="85"/>
      <c r="F40" s="186"/>
      <c r="G40" s="186"/>
    </row>
    <row r="41" ht="16.5" spans="1:7">
      <c r="A41" s="187" t="s">
        <v>187</v>
      </c>
      <c r="B41" s="187"/>
      <c r="C41" s="188" t="s">
        <v>188</v>
      </c>
      <c r="D41" s="189">
        <f>D31</f>
        <v>1528</v>
      </c>
      <c r="E41" s="85"/>
      <c r="F41" s="186"/>
      <c r="G41" s="186"/>
    </row>
    <row r="42" ht="16.5" spans="1:7">
      <c r="A42" s="187"/>
      <c r="B42" s="187"/>
      <c r="C42" s="190" t="s">
        <v>189</v>
      </c>
      <c r="D42" s="189">
        <f>D39</f>
        <v>297.1</v>
      </c>
      <c r="E42" s="85"/>
      <c r="F42" s="186"/>
      <c r="G42" s="186"/>
    </row>
    <row r="43" ht="16.5" spans="1:7">
      <c r="A43" s="187"/>
      <c r="B43" s="187"/>
      <c r="C43" s="188" t="s">
        <v>190</v>
      </c>
      <c r="D43" s="191">
        <f>TRUNC((SUM(D41:D42)),2)</f>
        <v>1825.1</v>
      </c>
      <c r="E43" s="85"/>
      <c r="F43" s="186"/>
      <c r="G43" s="186"/>
    </row>
    <row r="44" ht="15.75" spans="1:7">
      <c r="A44" s="178"/>
      <c r="B44" s="85"/>
      <c r="C44" s="192"/>
      <c r="D44" s="183"/>
      <c r="E44" s="85"/>
      <c r="F44" s="186"/>
      <c r="G44" s="186"/>
    </row>
    <row r="45" spans="1:7">
      <c r="A45" s="177" t="s">
        <v>63</v>
      </c>
      <c r="B45" s="177"/>
      <c r="C45" s="177"/>
      <c r="D45" s="177"/>
      <c r="E45" s="85"/>
      <c r="F45" s="85"/>
      <c r="G45" s="85"/>
    </row>
    <row r="46" spans="1:7">
      <c r="A46" s="178" t="s">
        <v>64</v>
      </c>
      <c r="B46" s="85" t="s">
        <v>65</v>
      </c>
      <c r="C46" s="178" t="s">
        <v>24</v>
      </c>
      <c r="D46" s="178" t="s">
        <v>66</v>
      </c>
      <c r="E46" s="85"/>
      <c r="F46" s="85"/>
      <c r="G46" s="85"/>
    </row>
    <row r="47" spans="1:7">
      <c r="A47" s="178" t="s">
        <v>28</v>
      </c>
      <c r="B47" s="85" t="s">
        <v>67</v>
      </c>
      <c r="C47" s="185">
        <v>0.2</v>
      </c>
      <c r="D47" s="183">
        <f t="shared" ref="D47:D54" si="0">TRUNC(($D$43*C47),2)</f>
        <v>365.02</v>
      </c>
      <c r="E47" s="85"/>
      <c r="F47" s="85"/>
      <c r="G47" s="85"/>
    </row>
    <row r="48" spans="1:7">
      <c r="A48" s="178" t="s">
        <v>31</v>
      </c>
      <c r="B48" s="85" t="s">
        <v>68</v>
      </c>
      <c r="C48" s="185">
        <v>0.025</v>
      </c>
      <c r="D48" s="183">
        <f t="shared" si="0"/>
        <v>45.62</v>
      </c>
      <c r="E48" s="85"/>
      <c r="F48" s="85"/>
      <c r="G48" s="85"/>
    </row>
    <row r="49" spans="1:7">
      <c r="A49" s="178" t="s">
        <v>34</v>
      </c>
      <c r="B49" s="85" t="s">
        <v>191</v>
      </c>
      <c r="C49" s="193">
        <v>0.06</v>
      </c>
      <c r="D49" s="180">
        <f t="shared" si="0"/>
        <v>109.5</v>
      </c>
      <c r="E49" s="85"/>
      <c r="F49" s="85"/>
      <c r="G49" s="85"/>
    </row>
    <row r="50" spans="1:7">
      <c r="A50" s="178" t="s">
        <v>36</v>
      </c>
      <c r="B50" s="85" t="s">
        <v>70</v>
      </c>
      <c r="C50" s="185">
        <v>0.015</v>
      </c>
      <c r="D50" s="183">
        <f t="shared" si="0"/>
        <v>27.37</v>
      </c>
      <c r="E50" s="85"/>
      <c r="F50" s="85"/>
      <c r="G50" s="85"/>
    </row>
    <row r="51" spans="1:7">
      <c r="A51" s="178" t="s">
        <v>39</v>
      </c>
      <c r="B51" s="85" t="s">
        <v>71</v>
      </c>
      <c r="C51" s="185">
        <v>0.01</v>
      </c>
      <c r="D51" s="183">
        <f t="shared" si="0"/>
        <v>18.25</v>
      </c>
      <c r="E51" s="85"/>
      <c r="F51" s="85"/>
      <c r="G51" s="85"/>
    </row>
    <row r="52" spans="1:7">
      <c r="A52" s="178" t="s">
        <v>41</v>
      </c>
      <c r="B52" s="85" t="s">
        <v>72</v>
      </c>
      <c r="C52" s="185">
        <v>0.006</v>
      </c>
      <c r="D52" s="183">
        <f t="shared" si="0"/>
        <v>10.95</v>
      </c>
      <c r="E52" s="85"/>
      <c r="F52" s="85"/>
      <c r="G52" s="85"/>
    </row>
    <row r="53" spans="1:7">
      <c r="A53" s="178" t="s">
        <v>73</v>
      </c>
      <c r="B53" s="85" t="s">
        <v>74</v>
      </c>
      <c r="C53" s="185">
        <v>0.002</v>
      </c>
      <c r="D53" s="183">
        <f t="shared" si="0"/>
        <v>3.65</v>
      </c>
      <c r="E53" s="85"/>
      <c r="F53" s="85"/>
      <c r="G53" s="85"/>
    </row>
    <row r="54" spans="1:7">
      <c r="A54" s="178" t="s">
        <v>75</v>
      </c>
      <c r="B54" s="85" t="s">
        <v>76</v>
      </c>
      <c r="C54" s="185">
        <v>0.08</v>
      </c>
      <c r="D54" s="183">
        <f t="shared" si="0"/>
        <v>146</v>
      </c>
      <c r="E54" s="85"/>
      <c r="F54" s="85"/>
      <c r="G54" s="85"/>
    </row>
    <row r="55" spans="1:7">
      <c r="A55" s="178" t="s">
        <v>44</v>
      </c>
      <c r="B55" s="85"/>
      <c r="C55" s="192">
        <f>SUM(C47:C54)</f>
        <v>0.398</v>
      </c>
      <c r="D55" s="183">
        <f>TRUNC((SUM(D47:D54)),2)</f>
        <v>726.36</v>
      </c>
      <c r="E55" s="85"/>
      <c r="F55" s="85"/>
      <c r="G55" s="85"/>
    </row>
    <row r="56" spans="1:7">
      <c r="A56" s="178"/>
      <c r="B56" s="85"/>
      <c r="C56" s="192"/>
      <c r="D56" s="183"/>
      <c r="E56" s="85"/>
      <c r="F56" s="85"/>
      <c r="G56" s="85"/>
    </row>
    <row r="57" spans="1:7">
      <c r="A57" s="177" t="s">
        <v>81</v>
      </c>
      <c r="B57" s="177"/>
      <c r="C57" s="177"/>
      <c r="D57" s="177"/>
      <c r="E57" s="85"/>
      <c r="F57" s="85"/>
      <c r="G57" s="85"/>
    </row>
    <row r="58" spans="1:7">
      <c r="A58" s="178" t="s">
        <v>82</v>
      </c>
      <c r="B58" s="85" t="s">
        <v>83</v>
      </c>
      <c r="C58" s="178" t="s">
        <v>4</v>
      </c>
      <c r="D58" s="178" t="s">
        <v>5</v>
      </c>
      <c r="E58" s="85"/>
      <c r="F58" s="85"/>
      <c r="G58" s="85"/>
    </row>
    <row r="59" spans="1:7">
      <c r="A59" s="178" t="s">
        <v>28</v>
      </c>
      <c r="B59" s="85" t="s">
        <v>84</v>
      </c>
      <c r="C59" s="179"/>
      <c r="D59" s="180">
        <v>0</v>
      </c>
      <c r="E59" s="85"/>
      <c r="F59" s="85"/>
      <c r="G59" s="85"/>
    </row>
    <row r="60" spans="1:7">
      <c r="A60" s="178" t="s">
        <v>31</v>
      </c>
      <c r="B60" s="85" t="s">
        <v>85</v>
      </c>
      <c r="C60" s="179" t="str">
        <f>C9</f>
        <v>CCT PB 000047/2021</v>
      </c>
      <c r="D60" s="180">
        <f>TRUNC((((22*18))-(((22*18))*0.2)),2)</f>
        <v>316.8</v>
      </c>
      <c r="E60" s="85"/>
      <c r="F60" s="85"/>
      <c r="G60" s="85"/>
    </row>
    <row r="61" spans="1:7">
      <c r="A61" s="178" t="s">
        <v>34</v>
      </c>
      <c r="B61" s="85" t="s">
        <v>86</v>
      </c>
      <c r="C61" s="179"/>
      <c r="D61" s="180">
        <v>0</v>
      </c>
      <c r="E61" s="85"/>
      <c r="F61" s="85"/>
      <c r="G61" s="85"/>
    </row>
    <row r="62" spans="1:7">
      <c r="A62" s="86" t="s">
        <v>36</v>
      </c>
      <c r="B62" s="195" t="s">
        <v>234</v>
      </c>
      <c r="C62" s="194"/>
      <c r="D62" s="194">
        <v>0</v>
      </c>
      <c r="E62" s="85"/>
      <c r="F62" s="195"/>
      <c r="G62" s="85"/>
    </row>
    <row r="63" spans="1:7">
      <c r="A63" s="178" t="s">
        <v>39</v>
      </c>
      <c r="B63" s="85" t="s">
        <v>193</v>
      </c>
      <c r="C63" s="179" t="str">
        <f>C9</f>
        <v>CCT PB 000047/2021</v>
      </c>
      <c r="D63" s="220">
        <v>15</v>
      </c>
      <c r="E63" s="85"/>
      <c r="F63" s="85"/>
      <c r="G63" s="85"/>
    </row>
    <row r="64" spans="1:7">
      <c r="A64" s="178" t="s">
        <v>41</v>
      </c>
      <c r="B64" s="197" t="s">
        <v>194</v>
      </c>
      <c r="C64" s="194" t="str">
        <f>C9</f>
        <v>CCT PB 000047/2021</v>
      </c>
      <c r="D64" s="220">
        <v>5</v>
      </c>
      <c r="E64" s="85"/>
      <c r="F64" s="85"/>
      <c r="G64" s="85"/>
    </row>
    <row r="65" spans="1:7">
      <c r="A65" s="178" t="s">
        <v>44</v>
      </c>
      <c r="B65" s="85"/>
      <c r="C65" s="85"/>
      <c r="D65" s="183">
        <f>TRUNC((SUM(D59:D64)),2)</f>
        <v>336.8</v>
      </c>
      <c r="E65" s="85"/>
      <c r="F65" s="85"/>
      <c r="G65" s="85"/>
    </row>
    <row r="66" spans="1:7">
      <c r="A66" s="178"/>
      <c r="B66" s="85"/>
      <c r="C66" s="85"/>
      <c r="D66" s="183"/>
      <c r="E66" s="85"/>
      <c r="F66" s="85"/>
      <c r="G66" s="85"/>
    </row>
    <row r="67" spans="1:7">
      <c r="A67" s="177" t="s">
        <v>91</v>
      </c>
      <c r="B67" s="177"/>
      <c r="C67" s="177"/>
      <c r="D67" s="177"/>
      <c r="E67" s="85"/>
      <c r="F67" s="85"/>
      <c r="G67" s="85"/>
    </row>
    <row r="68" spans="1:7">
      <c r="A68" s="178" t="s">
        <v>92</v>
      </c>
      <c r="B68" s="85" t="s">
        <v>93</v>
      </c>
      <c r="C68" s="178" t="s">
        <v>4</v>
      </c>
      <c r="D68" s="178" t="s">
        <v>5</v>
      </c>
      <c r="E68" s="85"/>
      <c r="F68" s="85"/>
      <c r="G68" s="85"/>
    </row>
    <row r="69" spans="1:7">
      <c r="A69" s="178" t="s">
        <v>51</v>
      </c>
      <c r="B69" s="85" t="s">
        <v>52</v>
      </c>
      <c r="C69" s="178"/>
      <c r="D69" s="183">
        <f>D39</f>
        <v>297.1</v>
      </c>
      <c r="E69" s="85"/>
      <c r="F69" s="85"/>
      <c r="G69" s="85"/>
    </row>
    <row r="70" spans="1:7">
      <c r="A70" s="178" t="s">
        <v>64</v>
      </c>
      <c r="B70" s="85" t="s">
        <v>65</v>
      </c>
      <c r="C70" s="178"/>
      <c r="D70" s="183">
        <f>D55</f>
        <v>726.36</v>
      </c>
      <c r="E70" s="85"/>
      <c r="F70" s="85"/>
      <c r="G70" s="85"/>
    </row>
    <row r="71" spans="1:7">
      <c r="A71" s="178" t="s">
        <v>82</v>
      </c>
      <c r="B71" s="85" t="s">
        <v>83</v>
      </c>
      <c r="C71" s="178"/>
      <c r="D71" s="183">
        <f>D65</f>
        <v>336.8</v>
      </c>
      <c r="E71" s="85"/>
      <c r="F71" s="85"/>
      <c r="G71" s="85"/>
    </row>
    <row r="72" spans="1:7">
      <c r="A72" s="178" t="s">
        <v>44</v>
      </c>
      <c r="B72" s="85"/>
      <c r="C72" s="178"/>
      <c r="D72" s="183">
        <f>TRUNC(SUM(D69:D71),2)</f>
        <v>1360.26</v>
      </c>
      <c r="E72" s="85"/>
      <c r="F72" s="85"/>
      <c r="G72" s="85"/>
    </row>
    <row r="73" spans="1:7">
      <c r="A73" s="85"/>
      <c r="B73" s="85"/>
      <c r="C73" s="85"/>
      <c r="D73" s="85"/>
      <c r="E73" s="85"/>
      <c r="F73" s="85"/>
      <c r="G73" s="85"/>
    </row>
    <row r="74" spans="1:7">
      <c r="A74" s="161" t="s">
        <v>94</v>
      </c>
      <c r="B74" s="161"/>
      <c r="C74" s="161"/>
      <c r="D74" s="161"/>
      <c r="E74" s="85"/>
      <c r="F74" s="85"/>
      <c r="G74" s="85"/>
    </row>
    <row r="75" spans="1:7">
      <c r="A75" s="178" t="s">
        <v>95</v>
      </c>
      <c r="B75" s="85" t="s">
        <v>96</v>
      </c>
      <c r="C75" s="178" t="s">
        <v>24</v>
      </c>
      <c r="D75" s="178" t="s">
        <v>5</v>
      </c>
      <c r="E75" s="85"/>
      <c r="F75" s="85"/>
      <c r="G75" s="85"/>
    </row>
    <row r="76" spans="1:7">
      <c r="A76" s="178" t="s">
        <v>28</v>
      </c>
      <c r="B76" s="85" t="s">
        <v>97</v>
      </c>
      <c r="C76" s="193">
        <f>((1/12)*5%)</f>
        <v>0.00416666666666667</v>
      </c>
      <c r="D76" s="194">
        <f t="shared" ref="D76:D79" si="1">TRUNC(($D$31*C76),2)</f>
        <v>6.36</v>
      </c>
      <c r="E76" s="85"/>
      <c r="F76" s="85"/>
      <c r="G76" s="85"/>
    </row>
    <row r="77" spans="1:7">
      <c r="A77" s="178" t="s">
        <v>31</v>
      </c>
      <c r="B77" s="85" t="s">
        <v>98</v>
      </c>
      <c r="C77" s="199">
        <v>0.08</v>
      </c>
      <c r="D77" s="198">
        <f>TRUNC(($D$76*C77),2)</f>
        <v>0.5</v>
      </c>
      <c r="E77" s="85"/>
      <c r="F77" s="85"/>
      <c r="G77" s="85"/>
    </row>
    <row r="78" ht="30" spans="1:7">
      <c r="A78" s="178" t="s">
        <v>34</v>
      </c>
      <c r="B78" s="200" t="s">
        <v>99</v>
      </c>
      <c r="C78" s="201">
        <f>(0.08*0.4*0.05)</f>
        <v>0.0016</v>
      </c>
      <c r="D78" s="194">
        <f t="shared" si="1"/>
        <v>2.44</v>
      </c>
      <c r="E78" s="85"/>
      <c r="F78" s="85"/>
      <c r="G78" s="85"/>
    </row>
    <row r="79" spans="1:7">
      <c r="A79" s="178" t="s">
        <v>36</v>
      </c>
      <c r="B79" s="85" t="s">
        <v>100</v>
      </c>
      <c r="C79" s="202">
        <f>(((7/30)/12)*0.95)</f>
        <v>0.0184722222222222</v>
      </c>
      <c r="D79" s="203">
        <f t="shared" si="1"/>
        <v>28.22</v>
      </c>
      <c r="E79" s="85"/>
      <c r="F79" s="85"/>
      <c r="G79" s="85"/>
    </row>
    <row r="80" ht="30" spans="1:7">
      <c r="A80" s="178" t="s">
        <v>39</v>
      </c>
      <c r="B80" s="200" t="s">
        <v>195</v>
      </c>
      <c r="C80" s="201">
        <f>C55</f>
        <v>0.398</v>
      </c>
      <c r="D80" s="194">
        <f>TRUNC(($D$79*C80),2)</f>
        <v>11.23</v>
      </c>
      <c r="E80" s="85"/>
      <c r="F80" s="85"/>
      <c r="G80" s="85"/>
    </row>
    <row r="81" ht="30" spans="1:7">
      <c r="A81" s="178" t="s">
        <v>41</v>
      </c>
      <c r="B81" s="200" t="s">
        <v>101</v>
      </c>
      <c r="C81" s="201">
        <f>(0.08*0.4*0.95)</f>
        <v>0.0304</v>
      </c>
      <c r="D81" s="194">
        <f>TRUNC(($D$31*C81),2)</f>
        <v>46.45</v>
      </c>
      <c r="E81" s="85"/>
      <c r="F81" s="85"/>
      <c r="G81" s="85"/>
    </row>
    <row r="82" spans="1:7">
      <c r="A82" s="178" t="s">
        <v>44</v>
      </c>
      <c r="B82" s="85"/>
      <c r="C82" s="199">
        <f>SUM(C76:C81)</f>
        <v>0.532638888888889</v>
      </c>
      <c r="D82" s="198">
        <f>TRUNC((SUM(D76:D81)),2)</f>
        <v>95.2</v>
      </c>
      <c r="E82" s="85"/>
      <c r="F82" s="85"/>
      <c r="G82" s="85"/>
    </row>
    <row r="83" ht="15.75" spans="1:7">
      <c r="A83" s="178"/>
      <c r="B83" s="85"/>
      <c r="C83" s="85"/>
      <c r="D83" s="183"/>
      <c r="E83" s="85"/>
      <c r="F83" s="85"/>
      <c r="G83" s="85"/>
    </row>
    <row r="84" ht="16.5" spans="1:7">
      <c r="A84" s="187" t="s">
        <v>196</v>
      </c>
      <c r="B84" s="187"/>
      <c r="C84" s="188" t="s">
        <v>188</v>
      </c>
      <c r="D84" s="189">
        <f>D31</f>
        <v>1528</v>
      </c>
      <c r="E84" s="85"/>
      <c r="F84" s="85"/>
      <c r="G84" s="85"/>
    </row>
    <row r="85" ht="16.5" spans="1:7">
      <c r="A85" s="187"/>
      <c r="B85" s="187"/>
      <c r="C85" s="190" t="s">
        <v>197</v>
      </c>
      <c r="D85" s="189">
        <f>D72</f>
        <v>1360.26</v>
      </c>
      <c r="E85" s="85"/>
      <c r="F85" s="85"/>
      <c r="G85" s="85"/>
    </row>
    <row r="86" ht="16.5" spans="1:7">
      <c r="A86" s="187"/>
      <c r="B86" s="187"/>
      <c r="C86" s="188" t="s">
        <v>198</v>
      </c>
      <c r="D86" s="189">
        <f>D82</f>
        <v>95.2</v>
      </c>
      <c r="E86" s="85"/>
      <c r="F86" s="85"/>
      <c r="G86" s="85"/>
    </row>
    <row r="87" ht="16.5" spans="1:7">
      <c r="A87" s="187"/>
      <c r="B87" s="187"/>
      <c r="C87" s="190" t="s">
        <v>190</v>
      </c>
      <c r="D87" s="191">
        <f>TRUNC((SUM(D84:D86)),2)</f>
        <v>2983.46</v>
      </c>
      <c r="E87" s="85"/>
      <c r="F87" s="85"/>
      <c r="G87" s="85"/>
    </row>
    <row r="88" ht="15.75" spans="1:7">
      <c r="A88" s="178"/>
      <c r="B88" s="85"/>
      <c r="C88" s="85"/>
      <c r="D88" s="183"/>
      <c r="E88" s="85"/>
      <c r="F88" s="85"/>
      <c r="G88" s="85"/>
    </row>
    <row r="89" spans="1:7">
      <c r="A89" s="204" t="s">
        <v>113</v>
      </c>
      <c r="B89" s="204"/>
      <c r="C89" s="204"/>
      <c r="D89" s="204"/>
      <c r="E89" s="85"/>
      <c r="F89" s="85"/>
      <c r="G89" s="85"/>
    </row>
    <row r="90" spans="1:7">
      <c r="A90" s="177" t="s">
        <v>114</v>
      </c>
      <c r="B90" s="177"/>
      <c r="C90" s="177"/>
      <c r="D90" s="177"/>
      <c r="E90" s="85"/>
      <c r="F90" s="85"/>
      <c r="G90" s="85"/>
    </row>
    <row r="91" spans="1:7">
      <c r="A91" s="178" t="s">
        <v>115</v>
      </c>
      <c r="B91" s="85" t="s">
        <v>116</v>
      </c>
      <c r="C91" s="178" t="s">
        <v>24</v>
      </c>
      <c r="D91" s="178" t="s">
        <v>5</v>
      </c>
      <c r="E91" s="85"/>
      <c r="F91" s="85"/>
      <c r="G91" s="85"/>
    </row>
    <row r="92" spans="1:7">
      <c r="A92" s="178" t="s">
        <v>28</v>
      </c>
      <c r="B92" s="85" t="s">
        <v>199</v>
      </c>
      <c r="C92" s="199">
        <f>(((1+1/3)/12)/12)+((1/12)/12)</f>
        <v>0.0162037037037037</v>
      </c>
      <c r="D92" s="183">
        <f t="shared" ref="D92:D96" si="2">TRUNC(($D$87*C92),2)</f>
        <v>48.34</v>
      </c>
      <c r="E92" s="85"/>
      <c r="F92" s="85"/>
      <c r="G92" s="85"/>
    </row>
    <row r="93" spans="1:7">
      <c r="A93" s="178" t="s">
        <v>31</v>
      </c>
      <c r="B93" s="85" t="s">
        <v>119</v>
      </c>
      <c r="C93" s="193">
        <f>((2/30)/12)</f>
        <v>0.00555555555555556</v>
      </c>
      <c r="D93" s="194">
        <f t="shared" si="2"/>
        <v>16.57</v>
      </c>
      <c r="E93" s="85"/>
      <c r="F93" s="85"/>
      <c r="G93" s="85"/>
    </row>
    <row r="94" spans="1:7">
      <c r="A94" s="178" t="s">
        <v>34</v>
      </c>
      <c r="B94" s="85" t="s">
        <v>120</v>
      </c>
      <c r="C94" s="193">
        <f>((5/30)/12)*0.02</f>
        <v>0.000277777777777778</v>
      </c>
      <c r="D94" s="194">
        <f t="shared" si="2"/>
        <v>0.82</v>
      </c>
      <c r="E94" s="85"/>
      <c r="F94" s="85"/>
      <c r="G94" s="85"/>
    </row>
    <row r="95" spans="1:7">
      <c r="A95" s="86" t="s">
        <v>36</v>
      </c>
      <c r="B95" s="200" t="s">
        <v>121</v>
      </c>
      <c r="C95" s="201">
        <f>((15/30)/12)*0.08</f>
        <v>0.00333333333333333</v>
      </c>
      <c r="D95" s="194">
        <f t="shared" si="2"/>
        <v>9.94</v>
      </c>
      <c r="E95" s="85"/>
      <c r="F95" s="85"/>
      <c r="G95" s="85"/>
    </row>
    <row r="96" spans="1:7">
      <c r="A96" s="178" t="s">
        <v>39</v>
      </c>
      <c r="B96" s="85" t="s">
        <v>122</v>
      </c>
      <c r="C96" s="193">
        <f>((1+1/3)/12)*0.03*((4/12))</f>
        <v>0.00111111111111111</v>
      </c>
      <c r="D96" s="194">
        <f t="shared" si="2"/>
        <v>3.31</v>
      </c>
      <c r="E96" s="85"/>
      <c r="F96" s="85"/>
      <c r="G96" s="85"/>
    </row>
    <row r="97" spans="1:7">
      <c r="A97" s="178" t="s">
        <v>41</v>
      </c>
      <c r="B97" s="200" t="s">
        <v>200</v>
      </c>
      <c r="C97" s="205">
        <v>0</v>
      </c>
      <c r="D97" s="194">
        <f>TRUNC($D$87*C97)</f>
        <v>0</v>
      </c>
      <c r="E97" s="85"/>
      <c r="F97" s="85"/>
      <c r="G97" s="85"/>
    </row>
    <row r="98" spans="1:7">
      <c r="A98" s="178" t="s">
        <v>44</v>
      </c>
      <c r="B98" s="85"/>
      <c r="C98" s="199">
        <f>SUM(C92:C97)</f>
        <v>0.0264814814814815</v>
      </c>
      <c r="D98" s="183">
        <f>TRUNC((SUM(D92:D97)),2)</f>
        <v>78.98</v>
      </c>
      <c r="E98" s="85"/>
      <c r="F98" s="85"/>
      <c r="G98" s="85"/>
    </row>
    <row r="99" spans="1:7">
      <c r="A99" s="178"/>
      <c r="B99" s="85"/>
      <c r="C99" s="178"/>
      <c r="D99" s="183"/>
      <c r="E99" s="85"/>
      <c r="F99" s="85"/>
      <c r="G99" s="85"/>
    </row>
    <row r="100" spans="1:7">
      <c r="A100" s="177" t="s">
        <v>130</v>
      </c>
      <c r="B100" s="177"/>
      <c r="C100" s="177"/>
      <c r="D100" s="177"/>
      <c r="E100" s="85"/>
      <c r="F100" s="85"/>
      <c r="G100" s="85"/>
    </row>
    <row r="101" spans="1:7">
      <c r="A101" s="178" t="s">
        <v>131</v>
      </c>
      <c r="B101" s="85" t="s">
        <v>132</v>
      </c>
      <c r="C101" s="178" t="s">
        <v>4</v>
      </c>
      <c r="D101" s="178" t="s">
        <v>5</v>
      </c>
      <c r="E101" s="85"/>
      <c r="F101" s="85"/>
      <c r="G101" s="85"/>
    </row>
    <row r="102" ht="90" spans="1:7">
      <c r="A102" s="86" t="s">
        <v>28</v>
      </c>
      <c r="B102" s="206" t="s">
        <v>133</v>
      </c>
      <c r="C102" s="207" t="s">
        <v>201</v>
      </c>
      <c r="D102" s="208" t="s">
        <v>202</v>
      </c>
      <c r="E102" s="85"/>
      <c r="F102" s="85"/>
      <c r="G102" s="85"/>
    </row>
    <row r="103" spans="1:7">
      <c r="A103" s="178" t="s">
        <v>44</v>
      </c>
      <c r="B103" s="85"/>
      <c r="C103" s="178"/>
      <c r="D103" s="209" t="str">
        <f>D102</f>
        <v>*=TRUNCAR(($D$86/220)*(1*(365/12))/2)</v>
      </c>
      <c r="E103" s="85"/>
      <c r="F103" s="85"/>
      <c r="G103" s="85"/>
    </row>
    <row r="104" spans="1:7">
      <c r="A104" s="85"/>
      <c r="B104" s="85"/>
      <c r="C104" s="85"/>
      <c r="D104" s="85"/>
      <c r="E104" s="85"/>
      <c r="F104" s="85"/>
      <c r="G104" s="85"/>
    </row>
    <row r="105" spans="1:7">
      <c r="A105" s="177" t="s">
        <v>134</v>
      </c>
      <c r="B105" s="177"/>
      <c r="C105" s="177"/>
      <c r="D105" s="177"/>
      <c r="E105" s="85"/>
      <c r="F105" s="85"/>
      <c r="G105" s="85"/>
    </row>
    <row r="106" spans="1:7">
      <c r="A106" s="178" t="s">
        <v>135</v>
      </c>
      <c r="B106" s="85" t="s">
        <v>136</v>
      </c>
      <c r="C106" s="178" t="s">
        <v>4</v>
      </c>
      <c r="D106" s="178" t="s">
        <v>5</v>
      </c>
      <c r="E106" s="85"/>
      <c r="F106" s="85"/>
      <c r="G106" s="85"/>
    </row>
    <row r="107" spans="1:7">
      <c r="A107" s="178" t="s">
        <v>115</v>
      </c>
      <c r="B107" s="85" t="s">
        <v>116</v>
      </c>
      <c r="C107" s="85"/>
      <c r="D107" s="180">
        <f>D98</f>
        <v>78.98</v>
      </c>
      <c r="E107" s="85"/>
      <c r="F107" s="85"/>
      <c r="G107" s="85"/>
    </row>
    <row r="108" spans="1:7">
      <c r="A108" s="178" t="s">
        <v>131</v>
      </c>
      <c r="B108" s="85" t="s">
        <v>137</v>
      </c>
      <c r="C108" s="85"/>
      <c r="D108" s="210" t="str">
        <f>Submódulo4.260_812010265[[#Totals],[Valor]]</f>
        <v>*=TRUNCAR(($D$86/220)*(1*(365/12))/2)</v>
      </c>
      <c r="E108" s="85"/>
      <c r="F108" s="85"/>
      <c r="G108" s="85"/>
    </row>
    <row r="109" ht="60" spans="1:7">
      <c r="A109" s="86" t="s">
        <v>44</v>
      </c>
      <c r="B109" s="195"/>
      <c r="C109" s="207" t="s">
        <v>203</v>
      </c>
      <c r="D109" s="198">
        <f>TRUNC((SUM(D107:D108)),2)</f>
        <v>78.98</v>
      </c>
      <c r="E109" s="85"/>
      <c r="F109" s="85"/>
      <c r="G109" s="85"/>
    </row>
    <row r="110" spans="1:7">
      <c r="A110" s="85"/>
      <c r="B110" s="85"/>
      <c r="C110" s="85"/>
      <c r="D110" s="85"/>
      <c r="E110" s="85"/>
      <c r="F110" s="85"/>
      <c r="G110" s="85"/>
    </row>
    <row r="111" spans="1:7">
      <c r="A111" s="161" t="s">
        <v>138</v>
      </c>
      <c r="B111" s="161"/>
      <c r="C111" s="161"/>
      <c r="D111" s="161"/>
      <c r="E111" s="85"/>
      <c r="F111" s="85"/>
      <c r="G111" s="85"/>
    </row>
    <row r="112" spans="1:7">
      <c r="A112" s="178" t="s">
        <v>139</v>
      </c>
      <c r="B112" s="85" t="s">
        <v>140</v>
      </c>
      <c r="C112" s="178" t="s">
        <v>4</v>
      </c>
      <c r="D112" s="178" t="s">
        <v>5</v>
      </c>
      <c r="E112" s="85"/>
      <c r="F112" s="85"/>
      <c r="G112" s="85"/>
    </row>
    <row r="113" spans="1:7">
      <c r="A113" s="178" t="s">
        <v>28</v>
      </c>
      <c r="B113" s="85" t="s">
        <v>204</v>
      </c>
      <c r="C113" s="85"/>
      <c r="D113" s="180">
        <f>Uniformes!G81</f>
        <v>100.5</v>
      </c>
      <c r="E113" s="85"/>
      <c r="F113" s="85"/>
      <c r="G113" s="85"/>
    </row>
    <row r="114" spans="1:7">
      <c r="A114" s="178" t="s">
        <v>31</v>
      </c>
      <c r="B114" s="85" t="s">
        <v>205</v>
      </c>
      <c r="C114" s="85"/>
      <c r="D114" s="180">
        <f>EPC!E21</f>
        <v>8.97</v>
      </c>
      <c r="E114" s="85"/>
      <c r="F114" s="85"/>
      <c r="G114" s="85"/>
    </row>
    <row r="115" spans="1:7">
      <c r="A115" s="178" t="s">
        <v>34</v>
      </c>
      <c r="B115" s="85" t="s">
        <v>142</v>
      </c>
      <c r="C115" s="85"/>
      <c r="D115" s="180">
        <f>'Materiais e Equipamentos'!E93</f>
        <v>88.39</v>
      </c>
      <c r="E115" s="85"/>
      <c r="F115" s="85"/>
      <c r="G115" s="85"/>
    </row>
    <row r="116" spans="1:7">
      <c r="A116" s="178" t="s">
        <v>36</v>
      </c>
      <c r="B116" s="85" t="s">
        <v>143</v>
      </c>
      <c r="C116" s="85"/>
      <c r="D116" s="180">
        <f>'Materiais e Equipamentos'!F124</f>
        <v>20.4</v>
      </c>
      <c r="E116" s="85"/>
      <c r="F116" s="85"/>
      <c r="G116" s="85"/>
    </row>
    <row r="117" spans="1:7">
      <c r="A117" s="178" t="s">
        <v>39</v>
      </c>
      <c r="B117" s="85" t="s">
        <v>42</v>
      </c>
      <c r="C117" s="85"/>
      <c r="D117" s="180">
        <f>H116</f>
        <v>0</v>
      </c>
      <c r="E117" s="85"/>
      <c r="F117" s="85"/>
      <c r="G117" s="85"/>
    </row>
    <row r="118" spans="1:7">
      <c r="A118" s="178" t="s">
        <v>44</v>
      </c>
      <c r="B118" s="85"/>
      <c r="C118" s="85"/>
      <c r="D118" s="183">
        <f>TRUNC(SUM((D113:D117)),2)</f>
        <v>218.26</v>
      </c>
      <c r="E118" s="85"/>
      <c r="F118" s="85"/>
      <c r="G118" s="85"/>
    </row>
    <row r="119" ht="15.75" spans="1:7">
      <c r="A119" s="85"/>
      <c r="B119" s="85"/>
      <c r="C119" s="85"/>
      <c r="D119" s="85"/>
      <c r="E119" s="85"/>
      <c r="F119" s="85"/>
      <c r="G119" s="85"/>
    </row>
    <row r="120" ht="16.5" spans="1:7">
      <c r="A120" s="187" t="s">
        <v>207</v>
      </c>
      <c r="B120" s="187"/>
      <c r="C120" s="188" t="s">
        <v>188</v>
      </c>
      <c r="D120" s="189">
        <f>D31</f>
        <v>1528</v>
      </c>
      <c r="E120" s="85"/>
      <c r="F120" s="85"/>
      <c r="G120" s="85"/>
    </row>
    <row r="121" ht="16.5" spans="1:7">
      <c r="A121" s="187"/>
      <c r="B121" s="187"/>
      <c r="C121" s="190" t="s">
        <v>197</v>
      </c>
      <c r="D121" s="189">
        <f>D72</f>
        <v>1360.26</v>
      </c>
      <c r="E121" s="85"/>
      <c r="F121" s="85"/>
      <c r="G121" s="85"/>
    </row>
    <row r="122" ht="16.5" spans="1:7">
      <c r="A122" s="187"/>
      <c r="B122" s="187"/>
      <c r="C122" s="188" t="s">
        <v>198</v>
      </c>
      <c r="D122" s="189">
        <f>D82</f>
        <v>95.2</v>
      </c>
      <c r="E122" s="85"/>
      <c r="F122" s="85"/>
      <c r="G122" s="85"/>
    </row>
    <row r="123" ht="16.5" spans="1:7">
      <c r="A123" s="187"/>
      <c r="B123" s="187"/>
      <c r="C123" s="190" t="s">
        <v>208</v>
      </c>
      <c r="D123" s="189">
        <f>D109</f>
        <v>78.98</v>
      </c>
      <c r="E123" s="85"/>
      <c r="F123" s="85"/>
      <c r="G123" s="85"/>
    </row>
    <row r="124" ht="16.5" spans="1:7">
      <c r="A124" s="187"/>
      <c r="B124" s="187"/>
      <c r="C124" s="188" t="s">
        <v>209</v>
      </c>
      <c r="D124" s="189">
        <f>D118</f>
        <v>218.26</v>
      </c>
      <c r="E124" s="85"/>
      <c r="F124" s="85"/>
      <c r="G124" s="85"/>
    </row>
    <row r="125" ht="16.5" spans="1:7">
      <c r="A125" s="187"/>
      <c r="B125" s="187"/>
      <c r="C125" s="190" t="s">
        <v>190</v>
      </c>
      <c r="D125" s="191">
        <f>TRUNC((SUM(D120:D124)),2)</f>
        <v>3280.7</v>
      </c>
      <c r="E125" s="85"/>
      <c r="F125" s="85"/>
      <c r="G125" s="85"/>
    </row>
    <row r="126" ht="15.75" spans="1:7">
      <c r="A126" s="85"/>
      <c r="B126" s="85"/>
      <c r="C126" s="85"/>
      <c r="D126" s="85"/>
      <c r="E126" s="85"/>
      <c r="F126" s="85"/>
      <c r="G126" s="85"/>
    </row>
    <row r="127" spans="1:7">
      <c r="A127" s="161" t="s">
        <v>150</v>
      </c>
      <c r="B127" s="161"/>
      <c r="C127" s="161"/>
      <c r="D127" s="161"/>
      <c r="E127" s="85"/>
      <c r="F127" s="85"/>
      <c r="G127" s="85"/>
    </row>
    <row r="128" ht="15.75" spans="1:7">
      <c r="A128" s="178" t="s">
        <v>151</v>
      </c>
      <c r="B128" s="85" t="s">
        <v>152</v>
      </c>
      <c r="C128" s="178" t="s">
        <v>24</v>
      </c>
      <c r="D128" s="178" t="s">
        <v>5</v>
      </c>
      <c r="E128" s="85"/>
      <c r="F128" s="211" t="s">
        <v>210</v>
      </c>
      <c r="G128" s="211"/>
    </row>
    <row r="129" ht="15.75" spans="1:7">
      <c r="A129" s="178" t="s">
        <v>28</v>
      </c>
      <c r="B129" s="85" t="s">
        <v>153</v>
      </c>
      <c r="C129" s="193">
        <v>0.044</v>
      </c>
      <c r="D129" s="180">
        <f>TRUNC(($D$125*C129),2)</f>
        <v>144.35</v>
      </c>
      <c r="E129" s="85"/>
      <c r="F129" s="212" t="s">
        <v>211</v>
      </c>
      <c r="G129" s="201">
        <f>C131</f>
        <v>0.0865</v>
      </c>
    </row>
    <row r="130" ht="15.75" spans="1:7">
      <c r="A130" s="178" t="s">
        <v>31</v>
      </c>
      <c r="B130" s="85" t="s">
        <v>45</v>
      </c>
      <c r="C130" s="193">
        <v>0.0413</v>
      </c>
      <c r="D130" s="180">
        <f>TRUNC((C130*(D125+D129)),2)</f>
        <v>141.45</v>
      </c>
      <c r="E130" s="85"/>
      <c r="F130" s="213" t="s">
        <v>212</v>
      </c>
      <c r="G130" s="214">
        <f>TRUNC(SUM(D125,D129,D130),2)</f>
        <v>3566.5</v>
      </c>
    </row>
    <row r="131" ht="15.75" spans="1:7">
      <c r="A131" s="178" t="s">
        <v>34</v>
      </c>
      <c r="B131" s="85" t="s">
        <v>154</v>
      </c>
      <c r="C131" s="193">
        <f>SUM(C132:C134)</f>
        <v>0.0865</v>
      </c>
      <c r="D131" s="180">
        <f>TRUNC((SUM(D132:D134)),2)</f>
        <v>337.7</v>
      </c>
      <c r="E131" s="85"/>
      <c r="F131" s="212" t="s">
        <v>213</v>
      </c>
      <c r="G131" s="215">
        <f>(100-8.65)/100</f>
        <v>0.9135</v>
      </c>
    </row>
    <row r="132" ht="15.75" spans="1:7">
      <c r="A132" s="178"/>
      <c r="B132" s="85" t="s">
        <v>214</v>
      </c>
      <c r="C132" s="193">
        <v>0.0065</v>
      </c>
      <c r="D132" s="180">
        <f t="shared" ref="D132:D134" si="3">TRUNC(($G$132*C132),2)</f>
        <v>25.37</v>
      </c>
      <c r="E132" s="85"/>
      <c r="F132" s="213" t="s">
        <v>210</v>
      </c>
      <c r="G132" s="214">
        <f>TRUNC((G130/G131),2)</f>
        <v>3904.21</v>
      </c>
    </row>
    <row r="133" ht="15.75" spans="1:7">
      <c r="A133" s="178"/>
      <c r="B133" s="85" t="s">
        <v>215</v>
      </c>
      <c r="C133" s="193">
        <v>0.03</v>
      </c>
      <c r="D133" s="180">
        <f t="shared" si="3"/>
        <v>117.12</v>
      </c>
      <c r="E133" s="85"/>
      <c r="F133" s="85"/>
      <c r="G133" s="85"/>
    </row>
    <row r="134" spans="1:7">
      <c r="A134" s="178"/>
      <c r="B134" s="85" t="s">
        <v>216</v>
      </c>
      <c r="C134" s="193">
        <v>0.05</v>
      </c>
      <c r="D134" s="180">
        <f t="shared" si="3"/>
        <v>195.21</v>
      </c>
      <c r="E134" s="85"/>
      <c r="F134" s="85"/>
      <c r="G134" s="85"/>
    </row>
    <row r="135" spans="1:7">
      <c r="A135" s="178" t="s">
        <v>44</v>
      </c>
      <c r="B135" s="85"/>
      <c r="C135" s="178"/>
      <c r="D135" s="183">
        <f>TRUNC(SUM(D129:D131),2)</f>
        <v>623.5</v>
      </c>
      <c r="E135" s="85"/>
      <c r="F135" s="85"/>
      <c r="G135" s="85"/>
    </row>
    <row r="136" spans="1:7">
      <c r="A136" s="178"/>
      <c r="B136" s="85"/>
      <c r="C136" s="178"/>
      <c r="D136" s="183"/>
      <c r="E136" s="85"/>
      <c r="F136" s="85"/>
      <c r="G136" s="85"/>
    </row>
    <row r="137" spans="1:7">
      <c r="A137" s="85"/>
      <c r="B137" s="85"/>
      <c r="C137" s="85"/>
      <c r="D137" s="85"/>
      <c r="E137" s="85"/>
      <c r="F137" s="85"/>
      <c r="G137" s="85"/>
    </row>
    <row r="138" spans="1:7">
      <c r="A138" s="161" t="s">
        <v>158</v>
      </c>
      <c r="B138" s="161"/>
      <c r="C138" s="161"/>
      <c r="D138" s="161"/>
      <c r="E138" s="85"/>
      <c r="F138" s="85"/>
      <c r="G138" s="85"/>
    </row>
    <row r="139" spans="1:7">
      <c r="A139" s="178" t="s">
        <v>2</v>
      </c>
      <c r="B139" s="178" t="s">
        <v>159</v>
      </c>
      <c r="C139" s="178" t="s">
        <v>88</v>
      </c>
      <c r="D139" s="178" t="s">
        <v>5</v>
      </c>
      <c r="E139" s="85"/>
      <c r="F139" s="85"/>
      <c r="G139" s="85"/>
    </row>
    <row r="140" spans="1:7">
      <c r="A140" s="178" t="s">
        <v>28</v>
      </c>
      <c r="B140" s="85" t="s">
        <v>22</v>
      </c>
      <c r="C140" s="85"/>
      <c r="D140" s="183">
        <f>D31</f>
        <v>1528</v>
      </c>
      <c r="E140" s="85"/>
      <c r="F140" s="85"/>
      <c r="G140" s="85"/>
    </row>
    <row r="141" spans="1:7">
      <c r="A141" s="178" t="s">
        <v>31</v>
      </c>
      <c r="B141" s="85" t="s">
        <v>47</v>
      </c>
      <c r="C141" s="85"/>
      <c r="D141" s="183">
        <f>D72</f>
        <v>1360.26</v>
      </c>
      <c r="E141" s="85"/>
      <c r="F141" s="85"/>
      <c r="G141" s="85"/>
    </row>
    <row r="142" spans="1:7">
      <c r="A142" s="178" t="s">
        <v>34</v>
      </c>
      <c r="B142" s="85" t="s">
        <v>94</v>
      </c>
      <c r="C142" s="85"/>
      <c r="D142" s="183">
        <f>D82</f>
        <v>95.2</v>
      </c>
      <c r="E142" s="85"/>
      <c r="F142" s="85"/>
      <c r="G142" s="85"/>
    </row>
    <row r="143" spans="1:7">
      <c r="A143" s="178" t="s">
        <v>36</v>
      </c>
      <c r="B143" s="85" t="s">
        <v>160</v>
      </c>
      <c r="C143" s="85"/>
      <c r="D143" s="183">
        <f>D109</f>
        <v>78.98</v>
      </c>
      <c r="E143" s="85"/>
      <c r="F143" s="85"/>
      <c r="G143" s="85"/>
    </row>
    <row r="144" spans="1:7">
      <c r="A144" s="178" t="s">
        <v>39</v>
      </c>
      <c r="B144" s="85" t="s">
        <v>138</v>
      </c>
      <c r="C144" s="85"/>
      <c r="D144" s="183">
        <f>D118</f>
        <v>218.26</v>
      </c>
      <c r="E144" s="85"/>
      <c r="F144" s="85"/>
      <c r="G144" s="85"/>
    </row>
    <row r="145" spans="1:7">
      <c r="A145" s="85"/>
      <c r="B145" s="216" t="s">
        <v>161</v>
      </c>
      <c r="C145" s="85"/>
      <c r="D145" s="183">
        <f>TRUNC(SUM(D140:D144),2)</f>
        <v>3280.7</v>
      </c>
      <c r="E145" s="85"/>
      <c r="F145" s="85"/>
      <c r="G145" s="85"/>
    </row>
    <row r="146" spans="1:7">
      <c r="A146" s="178" t="s">
        <v>41</v>
      </c>
      <c r="B146" s="85" t="s">
        <v>150</v>
      </c>
      <c r="C146" s="85"/>
      <c r="D146" s="183">
        <f>D135</f>
        <v>623.5</v>
      </c>
      <c r="E146" s="85"/>
      <c r="F146" s="85"/>
      <c r="G146" s="85"/>
    </row>
    <row r="147" spans="1:7">
      <c r="A147" s="217"/>
      <c r="B147" s="218" t="s">
        <v>217</v>
      </c>
      <c r="C147" s="217"/>
      <c r="D147" s="219">
        <f>TRUNC((SUM(D140:D144)+D146),2)</f>
        <v>3904.2</v>
      </c>
      <c r="E147" s="85"/>
      <c r="F147" s="85"/>
      <c r="G147" s="85"/>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7"/>
  <sheetViews>
    <sheetView topLeftCell="A124" workbookViewId="0">
      <selection activeCell="A2" sqref="A2:D147"/>
    </sheetView>
  </sheetViews>
  <sheetFormatPr defaultColWidth="9.14285714285714" defaultRowHeight="15" outlineLevelCol="6"/>
  <cols>
    <col min="1" max="1" width="11.1428571428571" customWidth="1"/>
    <col min="2" max="2" width="54.8571428571429" customWidth="1"/>
    <col min="3" max="3" width="28.4285714285714" customWidth="1"/>
    <col min="4" max="4" width="33" customWidth="1"/>
    <col min="6" max="6" width="23.7142857142857" customWidth="1"/>
    <col min="7" max="7" width="13.7142857142857" customWidth="1"/>
  </cols>
  <sheetData>
    <row r="1" spans="1:7">
      <c r="A1" s="85"/>
      <c r="B1" s="85"/>
      <c r="C1" s="85"/>
      <c r="D1" s="85"/>
      <c r="E1" s="85"/>
      <c r="F1" s="85"/>
      <c r="G1" s="85"/>
    </row>
    <row r="2" ht="19.5" spans="1:7">
      <c r="A2" s="154" t="s">
        <v>163</v>
      </c>
      <c r="B2" s="154"/>
      <c r="C2" s="154"/>
      <c r="D2" s="154"/>
      <c r="E2" s="85"/>
      <c r="F2" s="85"/>
      <c r="G2" s="85"/>
    </row>
    <row r="3" ht="15.75" spans="1:7">
      <c r="A3" s="155" t="s">
        <v>228</v>
      </c>
      <c r="B3" s="155"/>
      <c r="C3" s="155"/>
      <c r="D3" s="155"/>
      <c r="E3" s="85"/>
      <c r="F3" s="85"/>
      <c r="G3" s="85"/>
    </row>
    <row r="4" spans="1:7">
      <c r="A4" s="156" t="s">
        <v>165</v>
      </c>
      <c r="B4" s="157" t="s">
        <v>166</v>
      </c>
      <c r="C4" s="158"/>
      <c r="D4" s="158"/>
      <c r="E4" s="85"/>
      <c r="F4" s="85"/>
      <c r="G4" s="85"/>
    </row>
    <row r="5" spans="1:7">
      <c r="A5" s="159"/>
      <c r="B5" s="160"/>
      <c r="C5" s="160"/>
      <c r="D5" s="160"/>
      <c r="E5" s="85"/>
      <c r="F5" s="85"/>
      <c r="G5" s="85"/>
    </row>
    <row r="6" ht="15.75" spans="1:7">
      <c r="A6" s="161" t="s">
        <v>167</v>
      </c>
      <c r="B6" s="161"/>
      <c r="C6" s="161"/>
      <c r="D6" s="161"/>
      <c r="E6" s="85"/>
      <c r="F6" s="85"/>
      <c r="G6" s="85"/>
    </row>
    <row r="7" ht="15.75" spans="1:7">
      <c r="A7" s="162" t="s">
        <v>28</v>
      </c>
      <c r="B7" s="163" t="s">
        <v>168</v>
      </c>
      <c r="C7" s="164" t="s">
        <v>169</v>
      </c>
      <c r="D7" s="164"/>
      <c r="E7" s="85"/>
      <c r="F7" s="85"/>
      <c r="G7" s="85"/>
    </row>
    <row r="8" spans="1:7">
      <c r="A8" s="165" t="s">
        <v>31</v>
      </c>
      <c r="B8" s="166" t="s">
        <v>170</v>
      </c>
      <c r="C8" s="167" t="s">
        <v>171</v>
      </c>
      <c r="D8" s="167"/>
      <c r="E8" s="85"/>
      <c r="F8" s="85"/>
      <c r="G8" s="85"/>
    </row>
    <row r="9" spans="1:7">
      <c r="A9" s="168" t="s">
        <v>34</v>
      </c>
      <c r="B9" s="169" t="s">
        <v>172</v>
      </c>
      <c r="C9" s="167" t="s">
        <v>229</v>
      </c>
      <c r="D9" s="167"/>
      <c r="E9" s="85"/>
      <c r="F9" s="85"/>
      <c r="G9" s="85"/>
    </row>
    <row r="10" spans="1:7">
      <c r="A10" s="165" t="s">
        <v>39</v>
      </c>
      <c r="B10" s="166" t="s">
        <v>174</v>
      </c>
      <c r="C10" s="167" t="s">
        <v>175</v>
      </c>
      <c r="D10" s="167"/>
      <c r="E10" s="85"/>
      <c r="F10" s="85"/>
      <c r="G10" s="85"/>
    </row>
    <row r="11" ht="15.75" spans="1:7">
      <c r="A11" s="170" t="s">
        <v>176</v>
      </c>
      <c r="B11" s="170"/>
      <c r="C11" s="170"/>
      <c r="D11" s="170"/>
      <c r="E11" s="85"/>
      <c r="F11" s="85"/>
      <c r="G11" s="85"/>
    </row>
    <row r="12" ht="16.5" spans="1:7">
      <c r="A12" s="171" t="s">
        <v>177</v>
      </c>
      <c r="B12" s="171"/>
      <c r="C12" s="170" t="s">
        <v>178</v>
      </c>
      <c r="D12" s="172" t="s">
        <v>179</v>
      </c>
      <c r="E12" s="85"/>
      <c r="F12" s="85"/>
      <c r="G12" s="85"/>
    </row>
    <row r="13" ht="15.75" spans="1:7">
      <c r="A13" s="173" t="s">
        <v>237</v>
      </c>
      <c r="B13" s="173"/>
      <c r="C13" s="167" t="s">
        <v>181</v>
      </c>
      <c r="D13" s="174">
        <f>RESUMO!D8</f>
        <v>1</v>
      </c>
      <c r="E13" s="85"/>
      <c r="F13" s="85"/>
      <c r="G13" s="85"/>
    </row>
    <row r="14" spans="1:7">
      <c r="A14" s="175"/>
      <c r="B14" s="175"/>
      <c r="C14" s="167"/>
      <c r="D14" s="176"/>
      <c r="E14" s="85"/>
      <c r="F14" s="85"/>
      <c r="G14" s="85"/>
    </row>
    <row r="15" ht="15.75" spans="1:7">
      <c r="A15" s="170" t="s">
        <v>0</v>
      </c>
      <c r="B15" s="170"/>
      <c r="C15" s="170"/>
      <c r="D15" s="170"/>
      <c r="E15" s="85"/>
      <c r="F15" s="177"/>
      <c r="G15" s="177"/>
    </row>
    <row r="16" ht="15.75" spans="1:7">
      <c r="A16" s="178" t="s">
        <v>2</v>
      </c>
      <c r="B16" s="85" t="s">
        <v>3</v>
      </c>
      <c r="C16" s="178" t="s">
        <v>4</v>
      </c>
      <c r="D16" s="178" t="s">
        <v>5</v>
      </c>
      <c r="E16" s="85"/>
      <c r="F16" s="85"/>
      <c r="G16" s="85"/>
    </row>
    <row r="17" spans="1:7">
      <c r="A17" s="178">
        <v>1</v>
      </c>
      <c r="B17" s="85" t="s">
        <v>6</v>
      </c>
      <c r="C17" s="179" t="s">
        <v>88</v>
      </c>
      <c r="D17" s="179" t="str">
        <f>A13</f>
        <v>Pintor</v>
      </c>
      <c r="E17" s="85"/>
      <c r="F17" s="85"/>
      <c r="G17" s="85"/>
    </row>
    <row r="18" spans="1:7">
      <c r="A18" s="178">
        <v>2</v>
      </c>
      <c r="B18" s="85" t="s">
        <v>9</v>
      </c>
      <c r="C18" s="179" t="s">
        <v>182</v>
      </c>
      <c r="D18" s="179" t="s">
        <v>238</v>
      </c>
      <c r="E18" s="85"/>
      <c r="F18" s="85"/>
      <c r="G18" s="85"/>
    </row>
    <row r="19" spans="1:7">
      <c r="A19" s="178">
        <v>3</v>
      </c>
      <c r="B19" s="85" t="s">
        <v>12</v>
      </c>
      <c r="C19" s="179" t="str">
        <f>C9</f>
        <v>CCT PB 000047/2021</v>
      </c>
      <c r="D19" s="180">
        <v>1528</v>
      </c>
      <c r="E19" s="85"/>
      <c r="F19" s="85"/>
      <c r="G19" s="85"/>
    </row>
    <row r="20" spans="1:7">
      <c r="A20" s="178">
        <v>4</v>
      </c>
      <c r="B20" s="85" t="s">
        <v>15</v>
      </c>
      <c r="C20" s="179" t="str">
        <f>C9</f>
        <v>CCT PB 000047/2021</v>
      </c>
      <c r="D20" s="179" t="s">
        <v>184</v>
      </c>
      <c r="E20" s="85"/>
      <c r="F20" s="85"/>
      <c r="G20" s="85"/>
    </row>
    <row r="21" spans="1:7">
      <c r="A21" s="178">
        <v>5</v>
      </c>
      <c r="B21" s="85" t="s">
        <v>19</v>
      </c>
      <c r="C21" s="179" t="str">
        <f>C9</f>
        <v>CCT PB 000047/2021</v>
      </c>
      <c r="D21" s="181" t="s">
        <v>185</v>
      </c>
      <c r="E21" s="85"/>
      <c r="F21" s="85"/>
      <c r="G21" s="85"/>
    </row>
    <row r="22" spans="1:7">
      <c r="A22" s="85"/>
      <c r="B22" s="85"/>
      <c r="C22" s="85"/>
      <c r="D22" s="85"/>
      <c r="E22" s="85"/>
      <c r="F22" s="177"/>
      <c r="G22" s="177"/>
    </row>
    <row r="23" spans="1:7">
      <c r="A23" s="161" t="s">
        <v>22</v>
      </c>
      <c r="B23" s="161"/>
      <c r="C23" s="161"/>
      <c r="D23" s="161"/>
      <c r="E23" s="85"/>
      <c r="F23" s="85"/>
      <c r="G23" s="85"/>
    </row>
    <row r="24" spans="1:7">
      <c r="A24" s="178" t="s">
        <v>25</v>
      </c>
      <c r="B24" s="85" t="s">
        <v>26</v>
      </c>
      <c r="C24" s="178" t="s">
        <v>4</v>
      </c>
      <c r="D24" s="178" t="s">
        <v>5</v>
      </c>
      <c r="E24" s="85"/>
      <c r="F24" s="85"/>
      <c r="G24" s="182"/>
    </row>
    <row r="25" spans="1:7">
      <c r="A25" s="178" t="s">
        <v>28</v>
      </c>
      <c r="B25" s="85" t="s">
        <v>29</v>
      </c>
      <c r="C25" s="179" t="s">
        <v>232</v>
      </c>
      <c r="D25" s="180">
        <f>D19</f>
        <v>1528</v>
      </c>
      <c r="E25" s="85"/>
      <c r="F25" s="85"/>
      <c r="G25" s="182"/>
    </row>
    <row r="26" spans="1:7">
      <c r="A26" s="178" t="s">
        <v>31</v>
      </c>
      <c r="B26" s="85" t="s">
        <v>32</v>
      </c>
      <c r="C26" s="179"/>
      <c r="D26" s="180">
        <v>0</v>
      </c>
      <c r="E26" s="85"/>
      <c r="F26" s="85"/>
      <c r="G26" s="182"/>
    </row>
    <row r="27" spans="1:7">
      <c r="A27" s="178" t="s">
        <v>34</v>
      </c>
      <c r="B27" s="85" t="s">
        <v>35</v>
      </c>
      <c r="C27" s="179"/>
      <c r="D27" s="180">
        <v>0</v>
      </c>
      <c r="E27" s="85"/>
      <c r="F27" s="85"/>
      <c r="G27" s="85"/>
    </row>
    <row r="28" spans="1:7">
      <c r="A28" s="178" t="s">
        <v>36</v>
      </c>
      <c r="B28" s="85" t="s">
        <v>37</v>
      </c>
      <c r="C28" s="179"/>
      <c r="D28" s="180">
        <v>0</v>
      </c>
      <c r="E28" s="85"/>
      <c r="F28" s="85"/>
      <c r="G28" s="85"/>
    </row>
    <row r="29" spans="1:7">
      <c r="A29" s="178" t="s">
        <v>39</v>
      </c>
      <c r="B29" s="85" t="s">
        <v>40</v>
      </c>
      <c r="C29" s="179"/>
      <c r="D29" s="180">
        <v>0</v>
      </c>
      <c r="E29" s="85"/>
      <c r="F29" s="85"/>
      <c r="G29" s="85"/>
    </row>
    <row r="30" spans="1:7">
      <c r="A30" s="178" t="s">
        <v>41</v>
      </c>
      <c r="B30" s="85" t="s">
        <v>42</v>
      </c>
      <c r="C30" s="179"/>
      <c r="D30" s="180">
        <v>0</v>
      </c>
      <c r="E30" s="85"/>
      <c r="F30" s="85"/>
      <c r="G30" s="85"/>
    </row>
    <row r="31" spans="1:7">
      <c r="A31" s="178" t="s">
        <v>44</v>
      </c>
      <c r="B31" s="85"/>
      <c r="C31" s="178"/>
      <c r="D31" s="183">
        <f>TRUNC(SUM(D25:D30),2)</f>
        <v>1528</v>
      </c>
      <c r="E31" s="85"/>
      <c r="F31" s="177"/>
      <c r="G31" s="177"/>
    </row>
    <row r="32" spans="1:7">
      <c r="A32" s="85"/>
      <c r="B32" s="85"/>
      <c r="C32" s="85"/>
      <c r="D32" s="85"/>
      <c r="E32" s="85"/>
      <c r="F32" s="85"/>
      <c r="G32" s="85"/>
    </row>
    <row r="33" spans="1:7">
      <c r="A33" s="184" t="s">
        <v>47</v>
      </c>
      <c r="B33" s="184"/>
      <c r="C33" s="184"/>
      <c r="D33" s="184"/>
      <c r="E33" s="85"/>
      <c r="F33" s="85"/>
      <c r="G33" s="182"/>
    </row>
    <row r="34" spans="1:7">
      <c r="A34" s="85"/>
      <c r="B34" s="85"/>
      <c r="C34" s="85"/>
      <c r="D34" s="85"/>
      <c r="E34" s="85"/>
      <c r="F34" s="85"/>
      <c r="G34" s="85"/>
    </row>
    <row r="35" spans="1:7">
      <c r="A35" s="177" t="s">
        <v>49</v>
      </c>
      <c r="B35" s="177"/>
      <c r="C35" s="177"/>
      <c r="D35" s="177"/>
      <c r="E35" s="85"/>
      <c r="F35" s="85"/>
      <c r="G35" s="85"/>
    </row>
    <row r="36" spans="1:7">
      <c r="A36" s="178" t="s">
        <v>51</v>
      </c>
      <c r="B36" s="85" t="s">
        <v>52</v>
      </c>
      <c r="C36" s="178" t="s">
        <v>24</v>
      </c>
      <c r="D36" s="178" t="s">
        <v>5</v>
      </c>
      <c r="E36" s="85"/>
      <c r="F36" s="85"/>
      <c r="G36" s="85"/>
    </row>
    <row r="37" spans="1:7">
      <c r="A37" s="178" t="s">
        <v>28</v>
      </c>
      <c r="B37" s="85" t="s">
        <v>53</v>
      </c>
      <c r="C37" s="185">
        <f>(1/12)</f>
        <v>0.0833333333333333</v>
      </c>
      <c r="D37" s="183">
        <f>TRUNC($D$31*C37,2)</f>
        <v>127.33</v>
      </c>
      <c r="E37" s="85"/>
      <c r="F37" s="186"/>
      <c r="G37" s="186"/>
    </row>
    <row r="38" spans="1:7">
      <c r="A38" s="178" t="s">
        <v>31</v>
      </c>
      <c r="B38" s="85" t="s">
        <v>54</v>
      </c>
      <c r="C38" s="185">
        <f>(((1+1/3)/12))</f>
        <v>0.111111111111111</v>
      </c>
      <c r="D38" s="183">
        <f>TRUNC($D$31*C38,2)</f>
        <v>169.77</v>
      </c>
      <c r="E38" s="85"/>
      <c r="F38" s="186"/>
      <c r="G38" s="186"/>
    </row>
    <row r="39" spans="1:7">
      <c r="A39" s="178" t="s">
        <v>44</v>
      </c>
      <c r="B39" s="85"/>
      <c r="C39" s="85"/>
      <c r="D39" s="183">
        <f>TRUNC((SUM(D37:D38)),2)</f>
        <v>297.1</v>
      </c>
      <c r="E39" s="85"/>
      <c r="F39" s="186"/>
      <c r="G39" s="186"/>
    </row>
    <row r="40" ht="15.75" spans="1:7">
      <c r="A40" s="85"/>
      <c r="B40" s="85"/>
      <c r="C40" s="85"/>
      <c r="D40" s="183"/>
      <c r="E40" s="85"/>
      <c r="F40" s="186"/>
      <c r="G40" s="186"/>
    </row>
    <row r="41" ht="16.5" spans="1:7">
      <c r="A41" s="187" t="s">
        <v>187</v>
      </c>
      <c r="B41" s="187"/>
      <c r="C41" s="188" t="s">
        <v>188</v>
      </c>
      <c r="D41" s="189">
        <f>D31</f>
        <v>1528</v>
      </c>
      <c r="E41" s="85"/>
      <c r="F41" s="186"/>
      <c r="G41" s="186"/>
    </row>
    <row r="42" ht="16.5" spans="1:7">
      <c r="A42" s="187"/>
      <c r="B42" s="187"/>
      <c r="C42" s="190" t="s">
        <v>189</v>
      </c>
      <c r="D42" s="189">
        <f>D39</f>
        <v>297.1</v>
      </c>
      <c r="E42" s="85"/>
      <c r="F42" s="186"/>
      <c r="G42" s="186"/>
    </row>
    <row r="43" ht="16.5" spans="1:7">
      <c r="A43" s="187"/>
      <c r="B43" s="187"/>
      <c r="C43" s="188" t="s">
        <v>190</v>
      </c>
      <c r="D43" s="191">
        <f>TRUNC((SUM(D41:D42)),2)</f>
        <v>1825.1</v>
      </c>
      <c r="E43" s="85"/>
      <c r="F43" s="186"/>
      <c r="G43" s="186"/>
    </row>
    <row r="44" ht="15.75" spans="1:7">
      <c r="A44" s="178"/>
      <c r="B44" s="85"/>
      <c r="C44" s="192"/>
      <c r="D44" s="183"/>
      <c r="E44" s="85"/>
      <c r="F44" s="186"/>
      <c r="G44" s="186"/>
    </row>
    <row r="45" spans="1:7">
      <c r="A45" s="177" t="s">
        <v>63</v>
      </c>
      <c r="B45" s="177"/>
      <c r="C45" s="177"/>
      <c r="D45" s="177"/>
      <c r="E45" s="85"/>
      <c r="F45" s="85"/>
      <c r="G45" s="85"/>
    </row>
    <row r="46" spans="1:7">
      <c r="A46" s="178" t="s">
        <v>64</v>
      </c>
      <c r="B46" s="85" t="s">
        <v>65</v>
      </c>
      <c r="C46" s="178" t="s">
        <v>24</v>
      </c>
      <c r="D46" s="178" t="s">
        <v>66</v>
      </c>
      <c r="E46" s="85"/>
      <c r="F46" s="85"/>
      <c r="G46" s="85"/>
    </row>
    <row r="47" spans="1:7">
      <c r="A47" s="178" t="s">
        <v>28</v>
      </c>
      <c r="B47" s="85" t="s">
        <v>67</v>
      </c>
      <c r="C47" s="185">
        <v>0.2</v>
      </c>
      <c r="D47" s="183">
        <f t="shared" ref="D47:D54" si="0">TRUNC(($D$43*C47),2)</f>
        <v>365.02</v>
      </c>
      <c r="E47" s="85"/>
      <c r="F47" s="85"/>
      <c r="G47" s="85"/>
    </row>
    <row r="48" spans="1:7">
      <c r="A48" s="178" t="s">
        <v>31</v>
      </c>
      <c r="B48" s="85" t="s">
        <v>68</v>
      </c>
      <c r="C48" s="185">
        <v>0.025</v>
      </c>
      <c r="D48" s="183">
        <f t="shared" si="0"/>
        <v>45.62</v>
      </c>
      <c r="E48" s="85"/>
      <c r="F48" s="85"/>
      <c r="G48" s="85"/>
    </row>
    <row r="49" spans="1:7">
      <c r="A49" s="178" t="s">
        <v>34</v>
      </c>
      <c r="B49" s="85" t="s">
        <v>191</v>
      </c>
      <c r="C49" s="193">
        <v>0.06</v>
      </c>
      <c r="D49" s="180">
        <f t="shared" si="0"/>
        <v>109.5</v>
      </c>
      <c r="E49" s="85"/>
      <c r="F49" s="85"/>
      <c r="G49" s="85"/>
    </row>
    <row r="50" spans="1:7">
      <c r="A50" s="178" t="s">
        <v>36</v>
      </c>
      <c r="B50" s="85" t="s">
        <v>70</v>
      </c>
      <c r="C50" s="185">
        <v>0.015</v>
      </c>
      <c r="D50" s="183">
        <f t="shared" si="0"/>
        <v>27.37</v>
      </c>
      <c r="E50" s="85"/>
      <c r="F50" s="85"/>
      <c r="G50" s="85"/>
    </row>
    <row r="51" spans="1:7">
      <c r="A51" s="178" t="s">
        <v>39</v>
      </c>
      <c r="B51" s="85" t="s">
        <v>71</v>
      </c>
      <c r="C51" s="185">
        <v>0.01</v>
      </c>
      <c r="D51" s="183">
        <f t="shared" si="0"/>
        <v>18.25</v>
      </c>
      <c r="E51" s="85"/>
      <c r="F51" s="85"/>
      <c r="G51" s="85"/>
    </row>
    <row r="52" spans="1:7">
      <c r="A52" s="178" t="s">
        <v>41</v>
      </c>
      <c r="B52" s="85" t="s">
        <v>72</v>
      </c>
      <c r="C52" s="185">
        <v>0.006</v>
      </c>
      <c r="D52" s="183">
        <f t="shared" si="0"/>
        <v>10.95</v>
      </c>
      <c r="E52" s="85"/>
      <c r="F52" s="85"/>
      <c r="G52" s="85"/>
    </row>
    <row r="53" spans="1:7">
      <c r="A53" s="178" t="s">
        <v>73</v>
      </c>
      <c r="B53" s="85" t="s">
        <v>74</v>
      </c>
      <c r="C53" s="185">
        <v>0.002</v>
      </c>
      <c r="D53" s="183">
        <f t="shared" si="0"/>
        <v>3.65</v>
      </c>
      <c r="E53" s="85"/>
      <c r="F53" s="85"/>
      <c r="G53" s="85"/>
    </row>
    <row r="54" spans="1:7">
      <c r="A54" s="178" t="s">
        <v>75</v>
      </c>
      <c r="B54" s="85" t="s">
        <v>76</v>
      </c>
      <c r="C54" s="185">
        <v>0.08</v>
      </c>
      <c r="D54" s="183">
        <f t="shared" si="0"/>
        <v>146</v>
      </c>
      <c r="E54" s="85"/>
      <c r="F54" s="85"/>
      <c r="G54" s="85"/>
    </row>
    <row r="55" spans="1:7">
      <c r="A55" s="178" t="s">
        <v>44</v>
      </c>
      <c r="B55" s="85"/>
      <c r="C55" s="192">
        <f>SUM(C47:C54)</f>
        <v>0.398</v>
      </c>
      <c r="D55" s="183">
        <f>TRUNC((SUM(D47:D54)),2)</f>
        <v>726.36</v>
      </c>
      <c r="E55" s="85"/>
      <c r="F55" s="85"/>
      <c r="G55" s="85"/>
    </row>
    <row r="56" spans="1:7">
      <c r="A56" s="178"/>
      <c r="B56" s="85"/>
      <c r="C56" s="192"/>
      <c r="D56" s="183"/>
      <c r="E56" s="85"/>
      <c r="F56" s="85"/>
      <c r="G56" s="85"/>
    </row>
    <row r="57" spans="1:7">
      <c r="A57" s="177" t="s">
        <v>81</v>
      </c>
      <c r="B57" s="177"/>
      <c r="C57" s="177"/>
      <c r="D57" s="177"/>
      <c r="E57" s="85"/>
      <c r="F57" s="85"/>
      <c r="G57" s="85"/>
    </row>
    <row r="58" spans="1:7">
      <c r="A58" s="178" t="s">
        <v>82</v>
      </c>
      <c r="B58" s="85" t="s">
        <v>83</v>
      </c>
      <c r="C58" s="178" t="s">
        <v>4</v>
      </c>
      <c r="D58" s="178" t="s">
        <v>5</v>
      </c>
      <c r="E58" s="85"/>
      <c r="F58" s="85"/>
      <c r="G58" s="85"/>
    </row>
    <row r="59" spans="1:7">
      <c r="A59" s="178" t="s">
        <v>28</v>
      </c>
      <c r="B59" s="85" t="s">
        <v>84</v>
      </c>
      <c r="C59" s="179"/>
      <c r="D59" s="180">
        <v>0</v>
      </c>
      <c r="E59" s="85"/>
      <c r="F59" s="85"/>
      <c r="G59" s="85"/>
    </row>
    <row r="60" spans="1:7">
      <c r="A60" s="178" t="s">
        <v>31</v>
      </c>
      <c r="B60" s="85" t="s">
        <v>85</v>
      </c>
      <c r="C60" s="179" t="str">
        <f>C9</f>
        <v>CCT PB 000047/2021</v>
      </c>
      <c r="D60" s="180">
        <f>TRUNC((((22*18))-(((22*18))*0.2)),2)</f>
        <v>316.8</v>
      </c>
      <c r="E60" s="85"/>
      <c r="F60" s="85"/>
      <c r="G60" s="85"/>
    </row>
    <row r="61" spans="1:7">
      <c r="A61" s="178" t="s">
        <v>34</v>
      </c>
      <c r="B61" s="85" t="s">
        <v>86</v>
      </c>
      <c r="C61" s="179"/>
      <c r="D61" s="180">
        <v>0</v>
      </c>
      <c r="E61" s="85"/>
      <c r="F61" s="85"/>
      <c r="G61" s="85"/>
    </row>
    <row r="62" spans="1:7">
      <c r="A62" s="86" t="s">
        <v>36</v>
      </c>
      <c r="B62" s="195" t="s">
        <v>234</v>
      </c>
      <c r="C62" s="194"/>
      <c r="D62" s="194">
        <v>0</v>
      </c>
      <c r="E62" s="85"/>
      <c r="F62" s="195"/>
      <c r="G62" s="85"/>
    </row>
    <row r="63" spans="1:7">
      <c r="A63" s="178" t="s">
        <v>39</v>
      </c>
      <c r="B63" s="85" t="s">
        <v>193</v>
      </c>
      <c r="C63" s="179" t="str">
        <f>C9</f>
        <v>CCT PB 000047/2021</v>
      </c>
      <c r="D63" s="220">
        <v>15</v>
      </c>
      <c r="E63" s="85"/>
      <c r="F63" s="85"/>
      <c r="G63" s="85"/>
    </row>
    <row r="64" spans="1:7">
      <c r="A64" s="178" t="s">
        <v>41</v>
      </c>
      <c r="B64" s="197" t="s">
        <v>194</v>
      </c>
      <c r="C64" s="194" t="str">
        <f>C9</f>
        <v>CCT PB 000047/2021</v>
      </c>
      <c r="D64" s="220">
        <v>5</v>
      </c>
      <c r="E64" s="85"/>
      <c r="F64" s="85"/>
      <c r="G64" s="85"/>
    </row>
    <row r="65" spans="1:7">
      <c r="A65" s="178" t="s">
        <v>44</v>
      </c>
      <c r="B65" s="85"/>
      <c r="C65" s="85"/>
      <c r="D65" s="183">
        <f>TRUNC((SUM(D59:D64)),2)</f>
        <v>336.8</v>
      </c>
      <c r="E65" s="85"/>
      <c r="F65" s="85"/>
      <c r="G65" s="85"/>
    </row>
    <row r="66" spans="1:7">
      <c r="A66" s="178"/>
      <c r="B66" s="85"/>
      <c r="C66" s="85"/>
      <c r="D66" s="183"/>
      <c r="E66" s="85"/>
      <c r="F66" s="85"/>
      <c r="G66" s="85"/>
    </row>
    <row r="67" spans="1:7">
      <c r="A67" s="177" t="s">
        <v>91</v>
      </c>
      <c r="B67" s="177"/>
      <c r="C67" s="177"/>
      <c r="D67" s="177"/>
      <c r="E67" s="85"/>
      <c r="F67" s="85"/>
      <c r="G67" s="85"/>
    </row>
    <row r="68" spans="1:7">
      <c r="A68" s="178" t="s">
        <v>92</v>
      </c>
      <c r="B68" s="85" t="s">
        <v>93</v>
      </c>
      <c r="C68" s="178" t="s">
        <v>4</v>
      </c>
      <c r="D68" s="178" t="s">
        <v>5</v>
      </c>
      <c r="E68" s="85"/>
      <c r="F68" s="85"/>
      <c r="G68" s="85"/>
    </row>
    <row r="69" spans="1:7">
      <c r="A69" s="178" t="s">
        <v>51</v>
      </c>
      <c r="B69" s="85" t="s">
        <v>52</v>
      </c>
      <c r="C69" s="178"/>
      <c r="D69" s="183">
        <f>D39</f>
        <v>297.1</v>
      </c>
      <c r="E69" s="85"/>
      <c r="F69" s="85"/>
      <c r="G69" s="85"/>
    </row>
    <row r="70" spans="1:7">
      <c r="A70" s="178" t="s">
        <v>64</v>
      </c>
      <c r="B70" s="85" t="s">
        <v>65</v>
      </c>
      <c r="C70" s="178"/>
      <c r="D70" s="183">
        <f>D55</f>
        <v>726.36</v>
      </c>
      <c r="E70" s="85"/>
      <c r="F70" s="85"/>
      <c r="G70" s="85"/>
    </row>
    <row r="71" spans="1:7">
      <c r="A71" s="178" t="s">
        <v>82</v>
      </c>
      <c r="B71" s="85" t="s">
        <v>83</v>
      </c>
      <c r="C71" s="178"/>
      <c r="D71" s="183">
        <f>D65</f>
        <v>336.8</v>
      </c>
      <c r="E71" s="85"/>
      <c r="F71" s="85"/>
      <c r="G71" s="85"/>
    </row>
    <row r="72" spans="1:7">
      <c r="A72" s="178" t="s">
        <v>44</v>
      </c>
      <c r="B72" s="85"/>
      <c r="C72" s="178"/>
      <c r="D72" s="183">
        <f>TRUNC(SUM(D69:D71),2)</f>
        <v>1360.26</v>
      </c>
      <c r="E72" s="85"/>
      <c r="F72" s="85"/>
      <c r="G72" s="85"/>
    </row>
    <row r="73" spans="1:7">
      <c r="A73" s="85"/>
      <c r="B73" s="85"/>
      <c r="C73" s="85"/>
      <c r="D73" s="85"/>
      <c r="E73" s="85"/>
      <c r="F73" s="85"/>
      <c r="G73" s="85"/>
    </row>
    <row r="74" spans="1:7">
      <c r="A74" s="161" t="s">
        <v>94</v>
      </c>
      <c r="B74" s="161"/>
      <c r="C74" s="161"/>
      <c r="D74" s="161"/>
      <c r="E74" s="85"/>
      <c r="F74" s="85"/>
      <c r="G74" s="85"/>
    </row>
    <row r="75" spans="1:7">
      <c r="A75" s="178" t="s">
        <v>95</v>
      </c>
      <c r="B75" s="85" t="s">
        <v>96</v>
      </c>
      <c r="C75" s="178" t="s">
        <v>24</v>
      </c>
      <c r="D75" s="178" t="s">
        <v>5</v>
      </c>
      <c r="E75" s="85"/>
      <c r="F75" s="85"/>
      <c r="G75" s="85"/>
    </row>
    <row r="76" spans="1:7">
      <c r="A76" s="178" t="s">
        <v>28</v>
      </c>
      <c r="B76" s="85" t="s">
        <v>97</v>
      </c>
      <c r="C76" s="193">
        <f>((1/12)*5%)</f>
        <v>0.00416666666666667</v>
      </c>
      <c r="D76" s="194">
        <f t="shared" ref="D76:D79" si="1">TRUNC(($D$31*C76),2)</f>
        <v>6.36</v>
      </c>
      <c r="E76" s="85"/>
      <c r="F76" s="85"/>
      <c r="G76" s="85"/>
    </row>
    <row r="77" spans="1:7">
      <c r="A77" s="178" t="s">
        <v>31</v>
      </c>
      <c r="B77" s="85" t="s">
        <v>98</v>
      </c>
      <c r="C77" s="199">
        <v>0.08</v>
      </c>
      <c r="D77" s="198">
        <f>TRUNC(($D$76*C77),2)</f>
        <v>0.5</v>
      </c>
      <c r="E77" s="85"/>
      <c r="F77" s="85"/>
      <c r="G77" s="85"/>
    </row>
    <row r="78" ht="30" spans="1:7">
      <c r="A78" s="178" t="s">
        <v>34</v>
      </c>
      <c r="B78" s="200" t="s">
        <v>99</v>
      </c>
      <c r="C78" s="201">
        <f>(0.08*0.4*0.05)</f>
        <v>0.0016</v>
      </c>
      <c r="D78" s="194">
        <f t="shared" si="1"/>
        <v>2.44</v>
      </c>
      <c r="E78" s="85"/>
      <c r="F78" s="85"/>
      <c r="G78" s="85"/>
    </row>
    <row r="79" spans="1:7">
      <c r="A79" s="178" t="s">
        <v>36</v>
      </c>
      <c r="B79" s="85" t="s">
        <v>100</v>
      </c>
      <c r="C79" s="202">
        <f>(((7/30)/12)*0.95)</f>
        <v>0.0184722222222222</v>
      </c>
      <c r="D79" s="203">
        <f t="shared" si="1"/>
        <v>28.22</v>
      </c>
      <c r="E79" s="85"/>
      <c r="F79" s="85"/>
      <c r="G79" s="85"/>
    </row>
    <row r="80" ht="30" spans="1:7">
      <c r="A80" s="178" t="s">
        <v>39</v>
      </c>
      <c r="B80" s="200" t="s">
        <v>195</v>
      </c>
      <c r="C80" s="201">
        <f>C55</f>
        <v>0.398</v>
      </c>
      <c r="D80" s="194">
        <f>TRUNC(($D$79*C80),2)</f>
        <v>11.23</v>
      </c>
      <c r="E80" s="85"/>
      <c r="F80" s="85"/>
      <c r="G80" s="85"/>
    </row>
    <row r="81" ht="30" spans="1:7">
      <c r="A81" s="178" t="s">
        <v>41</v>
      </c>
      <c r="B81" s="200" t="s">
        <v>101</v>
      </c>
      <c r="C81" s="201">
        <f>(0.08*0.4*0.95)</f>
        <v>0.0304</v>
      </c>
      <c r="D81" s="194">
        <f>TRUNC(($D$31*C81),2)</f>
        <v>46.45</v>
      </c>
      <c r="E81" s="85"/>
      <c r="F81" s="85"/>
      <c r="G81" s="85"/>
    </row>
    <row r="82" spans="1:7">
      <c r="A82" s="178" t="s">
        <v>44</v>
      </c>
      <c r="B82" s="85"/>
      <c r="C82" s="199">
        <f>SUM(C76:C81)</f>
        <v>0.532638888888889</v>
      </c>
      <c r="D82" s="198">
        <f>TRUNC((SUM(D76:D81)),2)</f>
        <v>95.2</v>
      </c>
      <c r="E82" s="85"/>
      <c r="F82" s="85"/>
      <c r="G82" s="85"/>
    </row>
    <row r="83" ht="15.75" spans="1:7">
      <c r="A83" s="178"/>
      <c r="B83" s="85"/>
      <c r="C83" s="85"/>
      <c r="D83" s="183"/>
      <c r="E83" s="85"/>
      <c r="F83" s="85"/>
      <c r="G83" s="85"/>
    </row>
    <row r="84" ht="16.5" spans="1:7">
      <c r="A84" s="187" t="s">
        <v>196</v>
      </c>
      <c r="B84" s="187"/>
      <c r="C84" s="188" t="s">
        <v>188</v>
      </c>
      <c r="D84" s="189">
        <f>D31</f>
        <v>1528</v>
      </c>
      <c r="E84" s="85"/>
      <c r="F84" s="85"/>
      <c r="G84" s="85"/>
    </row>
    <row r="85" ht="16.5" spans="1:7">
      <c r="A85" s="187"/>
      <c r="B85" s="187"/>
      <c r="C85" s="190" t="s">
        <v>197</v>
      </c>
      <c r="D85" s="189">
        <f>D72</f>
        <v>1360.26</v>
      </c>
      <c r="E85" s="85"/>
      <c r="F85" s="85"/>
      <c r="G85" s="85"/>
    </row>
    <row r="86" ht="16.5" spans="1:7">
      <c r="A86" s="187"/>
      <c r="B86" s="187"/>
      <c r="C86" s="188" t="s">
        <v>198</v>
      </c>
      <c r="D86" s="189">
        <f>D82</f>
        <v>95.2</v>
      </c>
      <c r="E86" s="85"/>
      <c r="F86" s="85"/>
      <c r="G86" s="85"/>
    </row>
    <row r="87" ht="16.5" spans="1:7">
      <c r="A87" s="187"/>
      <c r="B87" s="187"/>
      <c r="C87" s="190" t="s">
        <v>190</v>
      </c>
      <c r="D87" s="191">
        <f>TRUNC((SUM(D84:D86)),2)</f>
        <v>2983.46</v>
      </c>
      <c r="E87" s="85"/>
      <c r="F87" s="85"/>
      <c r="G87" s="85"/>
    </row>
    <row r="88" ht="15.75" spans="1:7">
      <c r="A88" s="178"/>
      <c r="B88" s="85"/>
      <c r="C88" s="85"/>
      <c r="D88" s="183"/>
      <c r="E88" s="85"/>
      <c r="F88" s="85"/>
      <c r="G88" s="85"/>
    </row>
    <row r="89" spans="1:7">
      <c r="A89" s="204" t="s">
        <v>113</v>
      </c>
      <c r="B89" s="204"/>
      <c r="C89" s="204"/>
      <c r="D89" s="204"/>
      <c r="E89" s="85"/>
      <c r="F89" s="85"/>
      <c r="G89" s="85"/>
    </row>
    <row r="90" spans="1:7">
      <c r="A90" s="177" t="s">
        <v>114</v>
      </c>
      <c r="B90" s="177"/>
      <c r="C90" s="177"/>
      <c r="D90" s="177"/>
      <c r="E90" s="85"/>
      <c r="F90" s="85"/>
      <c r="G90" s="85"/>
    </row>
    <row r="91" spans="1:7">
      <c r="A91" s="178" t="s">
        <v>115</v>
      </c>
      <c r="B91" s="85" t="s">
        <v>116</v>
      </c>
      <c r="C91" s="178" t="s">
        <v>24</v>
      </c>
      <c r="D91" s="178" t="s">
        <v>5</v>
      </c>
      <c r="E91" s="85"/>
      <c r="F91" s="85"/>
      <c r="G91" s="85"/>
    </row>
    <row r="92" spans="1:7">
      <c r="A92" s="178" t="s">
        <v>28</v>
      </c>
      <c r="B92" s="85" t="s">
        <v>199</v>
      </c>
      <c r="C92" s="199">
        <f>(((1+1/3)/12)/12)+((1/12)/12)</f>
        <v>0.0162037037037037</v>
      </c>
      <c r="D92" s="183">
        <f t="shared" ref="D92:D96" si="2">TRUNC(($D$87*C92),2)</f>
        <v>48.34</v>
      </c>
      <c r="E92" s="85"/>
      <c r="F92" s="85"/>
      <c r="G92" s="85"/>
    </row>
    <row r="93" spans="1:7">
      <c r="A93" s="178" t="s">
        <v>31</v>
      </c>
      <c r="B93" s="85" t="s">
        <v>119</v>
      </c>
      <c r="C93" s="193">
        <f>((2/30)/12)</f>
        <v>0.00555555555555556</v>
      </c>
      <c r="D93" s="194">
        <f t="shared" si="2"/>
        <v>16.57</v>
      </c>
      <c r="E93" s="85"/>
      <c r="F93" s="85"/>
      <c r="G93" s="85"/>
    </row>
    <row r="94" spans="1:7">
      <c r="A94" s="178" t="s">
        <v>34</v>
      </c>
      <c r="B94" s="85" t="s">
        <v>120</v>
      </c>
      <c r="C94" s="193">
        <f>((5/30)/12)*0.02</f>
        <v>0.000277777777777778</v>
      </c>
      <c r="D94" s="194">
        <f t="shared" si="2"/>
        <v>0.82</v>
      </c>
      <c r="E94" s="85"/>
      <c r="F94" s="85"/>
      <c r="G94" s="85"/>
    </row>
    <row r="95" spans="1:7">
      <c r="A95" s="86" t="s">
        <v>36</v>
      </c>
      <c r="B95" s="200" t="s">
        <v>121</v>
      </c>
      <c r="C95" s="201">
        <f>((15/30)/12)*0.08</f>
        <v>0.00333333333333333</v>
      </c>
      <c r="D95" s="194">
        <f t="shared" si="2"/>
        <v>9.94</v>
      </c>
      <c r="E95" s="85"/>
      <c r="F95" s="85"/>
      <c r="G95" s="85"/>
    </row>
    <row r="96" spans="1:7">
      <c r="A96" s="178" t="s">
        <v>39</v>
      </c>
      <c r="B96" s="85" t="s">
        <v>122</v>
      </c>
      <c r="C96" s="193">
        <f>((1+1/3)/12)*0.03*((4/12))</f>
        <v>0.00111111111111111</v>
      </c>
      <c r="D96" s="194">
        <f t="shared" si="2"/>
        <v>3.31</v>
      </c>
      <c r="E96" s="85"/>
      <c r="F96" s="85"/>
      <c r="G96" s="85"/>
    </row>
    <row r="97" spans="1:7">
      <c r="A97" s="178" t="s">
        <v>41</v>
      </c>
      <c r="B97" s="200" t="s">
        <v>200</v>
      </c>
      <c r="C97" s="205">
        <v>0</v>
      </c>
      <c r="D97" s="194">
        <f>TRUNC($D$87*C97)</f>
        <v>0</v>
      </c>
      <c r="E97" s="85"/>
      <c r="F97" s="85"/>
      <c r="G97" s="85"/>
    </row>
    <row r="98" spans="1:7">
      <c r="A98" s="178" t="s">
        <v>44</v>
      </c>
      <c r="B98" s="85"/>
      <c r="C98" s="199">
        <f>SUM(C92:C97)</f>
        <v>0.0264814814814815</v>
      </c>
      <c r="D98" s="183">
        <f>TRUNC((SUM(D92:D97)),2)</f>
        <v>78.98</v>
      </c>
      <c r="E98" s="85"/>
      <c r="F98" s="85"/>
      <c r="G98" s="85"/>
    </row>
    <row r="99" spans="1:7">
      <c r="A99" s="178"/>
      <c r="B99" s="85"/>
      <c r="C99" s="178"/>
      <c r="D99" s="183"/>
      <c r="E99" s="85"/>
      <c r="F99" s="85"/>
      <c r="G99" s="85"/>
    </row>
    <row r="100" spans="1:7">
      <c r="A100" s="177" t="s">
        <v>130</v>
      </c>
      <c r="B100" s="177"/>
      <c r="C100" s="177"/>
      <c r="D100" s="177"/>
      <c r="E100" s="85"/>
      <c r="F100" s="85"/>
      <c r="G100" s="85"/>
    </row>
    <row r="101" spans="1:7">
      <c r="A101" s="178" t="s">
        <v>131</v>
      </c>
      <c r="B101" s="85" t="s">
        <v>132</v>
      </c>
      <c r="C101" s="178" t="s">
        <v>4</v>
      </c>
      <c r="D101" s="178" t="s">
        <v>5</v>
      </c>
      <c r="E101" s="85"/>
      <c r="F101" s="85"/>
      <c r="G101" s="85"/>
    </row>
    <row r="102" ht="90" spans="1:7">
      <c r="A102" s="86" t="s">
        <v>28</v>
      </c>
      <c r="B102" s="206" t="s">
        <v>133</v>
      </c>
      <c r="C102" s="207" t="s">
        <v>201</v>
      </c>
      <c r="D102" s="208" t="s">
        <v>202</v>
      </c>
      <c r="E102" s="85"/>
      <c r="F102" s="85"/>
      <c r="G102" s="85"/>
    </row>
    <row r="103" spans="1:7">
      <c r="A103" s="178" t="s">
        <v>44</v>
      </c>
      <c r="B103" s="85"/>
      <c r="C103" s="178"/>
      <c r="D103" s="209" t="str">
        <f>D102</f>
        <v>*=TRUNCAR(($D$86/220)*(1*(365/12))/2)</v>
      </c>
      <c r="E103" s="85"/>
      <c r="F103" s="85"/>
      <c r="G103" s="85"/>
    </row>
    <row r="104" spans="1:7">
      <c r="A104" s="85"/>
      <c r="B104" s="85"/>
      <c r="C104" s="85"/>
      <c r="D104" s="85"/>
      <c r="E104" s="85"/>
      <c r="F104" s="85"/>
      <c r="G104" s="85"/>
    </row>
    <row r="105" spans="1:7">
      <c r="A105" s="177" t="s">
        <v>134</v>
      </c>
      <c r="B105" s="177"/>
      <c r="C105" s="177"/>
      <c r="D105" s="177"/>
      <c r="E105" s="85"/>
      <c r="F105" s="85"/>
      <c r="G105" s="85"/>
    </row>
    <row r="106" spans="1:7">
      <c r="A106" s="178" t="s">
        <v>135</v>
      </c>
      <c r="B106" s="85" t="s">
        <v>136</v>
      </c>
      <c r="C106" s="178" t="s">
        <v>4</v>
      </c>
      <c r="D106" s="178" t="s">
        <v>5</v>
      </c>
      <c r="E106" s="85"/>
      <c r="F106" s="85"/>
      <c r="G106" s="85"/>
    </row>
    <row r="107" spans="1:7">
      <c r="A107" s="178" t="s">
        <v>115</v>
      </c>
      <c r="B107" s="85" t="s">
        <v>116</v>
      </c>
      <c r="C107" s="85"/>
      <c r="D107" s="180">
        <f>D98</f>
        <v>78.98</v>
      </c>
      <c r="E107" s="85"/>
      <c r="F107" s="85"/>
      <c r="G107" s="85"/>
    </row>
    <row r="108" spans="1:7">
      <c r="A108" s="178" t="s">
        <v>131</v>
      </c>
      <c r="B108" s="85" t="s">
        <v>137</v>
      </c>
      <c r="C108" s="85"/>
      <c r="D108" s="210" t="str">
        <f>Submódulo4.260_8120102[[#Totals],[Valor]]</f>
        <v>*=TRUNCAR(($D$86/220)*(1*(365/12))/2)</v>
      </c>
      <c r="E108" s="85"/>
      <c r="F108" s="85"/>
      <c r="G108" s="85"/>
    </row>
    <row r="109" ht="60" spans="1:7">
      <c r="A109" s="86" t="s">
        <v>44</v>
      </c>
      <c r="B109" s="195"/>
      <c r="C109" s="207" t="s">
        <v>203</v>
      </c>
      <c r="D109" s="198">
        <f>TRUNC((SUM(D107:D108)),2)</f>
        <v>78.98</v>
      </c>
      <c r="E109" s="85"/>
      <c r="F109" s="85"/>
      <c r="G109" s="85"/>
    </row>
    <row r="110" spans="1:7">
      <c r="A110" s="85"/>
      <c r="B110" s="85"/>
      <c r="C110" s="85"/>
      <c r="D110" s="85"/>
      <c r="E110" s="85"/>
      <c r="F110" s="85"/>
      <c r="G110" s="85"/>
    </row>
    <row r="111" spans="1:7">
      <c r="A111" s="161" t="s">
        <v>138</v>
      </c>
      <c r="B111" s="161"/>
      <c r="C111" s="161"/>
      <c r="D111" s="161"/>
      <c r="E111" s="85"/>
      <c r="F111" s="85"/>
      <c r="G111" s="85"/>
    </row>
    <row r="112" spans="1:7">
      <c r="A112" s="178" t="s">
        <v>139</v>
      </c>
      <c r="B112" s="85" t="s">
        <v>140</v>
      </c>
      <c r="C112" s="178" t="s">
        <v>4</v>
      </c>
      <c r="D112" s="178" t="s">
        <v>5</v>
      </c>
      <c r="E112" s="85"/>
      <c r="F112" s="85"/>
      <c r="G112" s="85"/>
    </row>
    <row r="113" spans="1:7">
      <c r="A113" s="178" t="s">
        <v>28</v>
      </c>
      <c r="B113" s="85" t="s">
        <v>204</v>
      </c>
      <c r="C113" s="85"/>
      <c r="D113" s="180">
        <f>Uniformes!G124</f>
        <v>97.57</v>
      </c>
      <c r="E113" s="85"/>
      <c r="F113" s="85"/>
      <c r="G113" s="85"/>
    </row>
    <row r="114" spans="1:7">
      <c r="A114" s="178" t="s">
        <v>31</v>
      </c>
      <c r="B114" s="85" t="s">
        <v>205</v>
      </c>
      <c r="C114" s="85"/>
      <c r="D114" s="180">
        <f>EPC!E21</f>
        <v>8.97</v>
      </c>
      <c r="E114" s="85"/>
      <c r="F114" s="85"/>
      <c r="G114" s="85"/>
    </row>
    <row r="115" spans="1:7">
      <c r="A115" s="178" t="s">
        <v>34</v>
      </c>
      <c r="B115" s="85" t="s">
        <v>142</v>
      </c>
      <c r="C115" s="85"/>
      <c r="D115" s="180">
        <f>'Materiais e Equipamentos'!E93</f>
        <v>88.39</v>
      </c>
      <c r="E115" s="85"/>
      <c r="F115" s="85"/>
      <c r="G115" s="85"/>
    </row>
    <row r="116" spans="1:7">
      <c r="A116" s="178" t="s">
        <v>36</v>
      </c>
      <c r="B116" s="85" t="s">
        <v>143</v>
      </c>
      <c r="C116" s="85"/>
      <c r="D116" s="180">
        <f>'Materiais e Equipamentos'!F124</f>
        <v>20.4</v>
      </c>
      <c r="E116" s="85"/>
      <c r="F116" s="85"/>
      <c r="G116" s="85"/>
    </row>
    <row r="117" spans="1:7">
      <c r="A117" s="178" t="s">
        <v>39</v>
      </c>
      <c r="B117" s="85" t="s">
        <v>42</v>
      </c>
      <c r="C117" s="85"/>
      <c r="D117" s="180">
        <f>H116</f>
        <v>0</v>
      </c>
      <c r="E117" s="85"/>
      <c r="F117" s="85"/>
      <c r="G117" s="85"/>
    </row>
    <row r="118" spans="1:7">
      <c r="A118" s="178" t="s">
        <v>44</v>
      </c>
      <c r="B118" s="85"/>
      <c r="C118" s="85"/>
      <c r="D118" s="183">
        <f>TRUNC(SUM((D113:D117)),2)</f>
        <v>215.33</v>
      </c>
      <c r="E118" s="85"/>
      <c r="F118" s="85"/>
      <c r="G118" s="85"/>
    </row>
    <row r="119" ht="15.75" spans="1:7">
      <c r="A119" s="85"/>
      <c r="B119" s="85"/>
      <c r="C119" s="85"/>
      <c r="D119" s="85"/>
      <c r="E119" s="85"/>
      <c r="F119" s="85"/>
      <c r="G119" s="85"/>
    </row>
    <row r="120" ht="16.5" spans="1:7">
      <c r="A120" s="187" t="s">
        <v>207</v>
      </c>
      <c r="B120" s="187"/>
      <c r="C120" s="188" t="s">
        <v>188</v>
      </c>
      <c r="D120" s="189">
        <f>D31</f>
        <v>1528</v>
      </c>
      <c r="E120" s="85"/>
      <c r="F120" s="85"/>
      <c r="G120" s="85"/>
    </row>
    <row r="121" ht="16.5" spans="1:7">
      <c r="A121" s="187"/>
      <c r="B121" s="187"/>
      <c r="C121" s="190" t="s">
        <v>197</v>
      </c>
      <c r="D121" s="189">
        <f>D72</f>
        <v>1360.26</v>
      </c>
      <c r="E121" s="85"/>
      <c r="F121" s="85"/>
      <c r="G121" s="85"/>
    </row>
    <row r="122" ht="16.5" spans="1:7">
      <c r="A122" s="187"/>
      <c r="B122" s="187"/>
      <c r="C122" s="188" t="s">
        <v>198</v>
      </c>
      <c r="D122" s="189">
        <f>D82</f>
        <v>95.2</v>
      </c>
      <c r="E122" s="85"/>
      <c r="F122" s="85"/>
      <c r="G122" s="85"/>
    </row>
    <row r="123" ht="16.5" spans="1:7">
      <c r="A123" s="187"/>
      <c r="B123" s="187"/>
      <c r="C123" s="190" t="s">
        <v>208</v>
      </c>
      <c r="D123" s="189">
        <f>D109</f>
        <v>78.98</v>
      </c>
      <c r="E123" s="85"/>
      <c r="F123" s="85"/>
      <c r="G123" s="85"/>
    </row>
    <row r="124" ht="16.5" spans="1:7">
      <c r="A124" s="187"/>
      <c r="B124" s="187"/>
      <c r="C124" s="188" t="s">
        <v>209</v>
      </c>
      <c r="D124" s="189">
        <f>D118</f>
        <v>215.33</v>
      </c>
      <c r="E124" s="85"/>
      <c r="F124" s="85"/>
      <c r="G124" s="85"/>
    </row>
    <row r="125" ht="16.5" spans="1:7">
      <c r="A125" s="187"/>
      <c r="B125" s="187"/>
      <c r="C125" s="190" t="s">
        <v>190</v>
      </c>
      <c r="D125" s="191">
        <f>TRUNC((SUM(D120:D124)),2)</f>
        <v>3277.77</v>
      </c>
      <c r="E125" s="85"/>
      <c r="F125" s="85"/>
      <c r="G125" s="85"/>
    </row>
    <row r="126" ht="15.75" spans="1:7">
      <c r="A126" s="85"/>
      <c r="B126" s="85"/>
      <c r="C126" s="85"/>
      <c r="D126" s="85"/>
      <c r="E126" s="85"/>
      <c r="F126" s="85"/>
      <c r="G126" s="85"/>
    </row>
    <row r="127" spans="1:7">
      <c r="A127" s="161" t="s">
        <v>150</v>
      </c>
      <c r="B127" s="161"/>
      <c r="C127" s="161"/>
      <c r="D127" s="161"/>
      <c r="E127" s="85"/>
      <c r="F127" s="85"/>
      <c r="G127" s="85"/>
    </row>
    <row r="128" ht="15.75" spans="1:7">
      <c r="A128" s="178" t="s">
        <v>151</v>
      </c>
      <c r="B128" s="85" t="s">
        <v>152</v>
      </c>
      <c r="C128" s="178" t="s">
        <v>24</v>
      </c>
      <c r="D128" s="178" t="s">
        <v>5</v>
      </c>
      <c r="E128" s="85"/>
      <c r="F128" s="211" t="s">
        <v>210</v>
      </c>
      <c r="G128" s="211"/>
    </row>
    <row r="129" ht="15.75" spans="1:7">
      <c r="A129" s="178" t="s">
        <v>28</v>
      </c>
      <c r="B129" s="85" t="s">
        <v>153</v>
      </c>
      <c r="C129" s="193">
        <v>0.044</v>
      </c>
      <c r="D129" s="180">
        <f>TRUNC(($D$125*C129),2)</f>
        <v>144.22</v>
      </c>
      <c r="E129" s="85"/>
      <c r="F129" s="212" t="s">
        <v>211</v>
      </c>
      <c r="G129" s="201">
        <f>C131</f>
        <v>0.0865</v>
      </c>
    </row>
    <row r="130" ht="15.75" spans="1:7">
      <c r="A130" s="178" t="s">
        <v>31</v>
      </c>
      <c r="B130" s="85" t="s">
        <v>45</v>
      </c>
      <c r="C130" s="193">
        <v>0.0413</v>
      </c>
      <c r="D130" s="180">
        <f>TRUNC((C130*(D125+D129)),2)</f>
        <v>141.32</v>
      </c>
      <c r="E130" s="85"/>
      <c r="F130" s="213" t="s">
        <v>212</v>
      </c>
      <c r="G130" s="214">
        <f>TRUNC(SUM(D125,D129,D130),2)</f>
        <v>3563.31</v>
      </c>
    </row>
    <row r="131" ht="15.75" spans="1:7">
      <c r="A131" s="178" t="s">
        <v>34</v>
      </c>
      <c r="B131" s="85" t="s">
        <v>154</v>
      </c>
      <c r="C131" s="193">
        <f>SUM(C132:C134)</f>
        <v>0.0865</v>
      </c>
      <c r="D131" s="180">
        <f>TRUNC((SUM(D132:D134)),2)</f>
        <v>337.4</v>
      </c>
      <c r="E131" s="85"/>
      <c r="F131" s="212" t="s">
        <v>213</v>
      </c>
      <c r="G131" s="215">
        <f>(100-8.65)/100</f>
        <v>0.9135</v>
      </c>
    </row>
    <row r="132" ht="15.75" spans="1:7">
      <c r="A132" s="178"/>
      <c r="B132" s="85" t="s">
        <v>214</v>
      </c>
      <c r="C132" s="193">
        <v>0.0065</v>
      </c>
      <c r="D132" s="180">
        <f t="shared" ref="D132:D134" si="3">TRUNC(($G$132*C132),2)</f>
        <v>25.35</v>
      </c>
      <c r="E132" s="85"/>
      <c r="F132" s="213" t="s">
        <v>210</v>
      </c>
      <c r="G132" s="214">
        <f>TRUNC((G130/G131),2)</f>
        <v>3900.72</v>
      </c>
    </row>
    <row r="133" ht="15.75" spans="1:7">
      <c r="A133" s="178"/>
      <c r="B133" s="85" t="s">
        <v>215</v>
      </c>
      <c r="C133" s="193">
        <v>0.03</v>
      </c>
      <c r="D133" s="180">
        <f t="shared" si="3"/>
        <v>117.02</v>
      </c>
      <c r="E133" s="85"/>
      <c r="F133" s="85"/>
      <c r="G133" s="85"/>
    </row>
    <row r="134" spans="1:7">
      <c r="A134" s="178"/>
      <c r="B134" s="85" t="s">
        <v>216</v>
      </c>
      <c r="C134" s="193">
        <v>0.05</v>
      </c>
      <c r="D134" s="180">
        <f t="shared" si="3"/>
        <v>195.03</v>
      </c>
      <c r="E134" s="85"/>
      <c r="F134" s="85"/>
      <c r="G134" s="85"/>
    </row>
    <row r="135" spans="1:7">
      <c r="A135" s="178" t="s">
        <v>44</v>
      </c>
      <c r="B135" s="85"/>
      <c r="C135" s="178"/>
      <c r="D135" s="183">
        <f>TRUNC(SUM(D129:D131),2)</f>
        <v>622.94</v>
      </c>
      <c r="E135" s="85"/>
      <c r="F135" s="85"/>
      <c r="G135" s="85"/>
    </row>
    <row r="136" spans="1:7">
      <c r="A136" s="178"/>
      <c r="B136" s="85"/>
      <c r="C136" s="178"/>
      <c r="D136" s="183"/>
      <c r="E136" s="85"/>
      <c r="F136" s="85"/>
      <c r="G136" s="85"/>
    </row>
    <row r="137" spans="1:7">
      <c r="A137" s="85"/>
      <c r="B137" s="85"/>
      <c r="C137" s="85"/>
      <c r="D137" s="85"/>
      <c r="E137" s="85"/>
      <c r="F137" s="85"/>
      <c r="G137" s="85"/>
    </row>
    <row r="138" spans="1:7">
      <c r="A138" s="161" t="s">
        <v>158</v>
      </c>
      <c r="B138" s="161"/>
      <c r="C138" s="161"/>
      <c r="D138" s="161"/>
      <c r="E138" s="85"/>
      <c r="F138" s="85"/>
      <c r="G138" s="85"/>
    </row>
    <row r="139" spans="1:7">
      <c r="A139" s="178" t="s">
        <v>2</v>
      </c>
      <c r="B139" s="178" t="s">
        <v>159</v>
      </c>
      <c r="C139" s="178" t="s">
        <v>88</v>
      </c>
      <c r="D139" s="178" t="s">
        <v>5</v>
      </c>
      <c r="E139" s="85"/>
      <c r="F139" s="85"/>
      <c r="G139" s="85"/>
    </row>
    <row r="140" spans="1:7">
      <c r="A140" s="178" t="s">
        <v>28</v>
      </c>
      <c r="B140" s="85" t="s">
        <v>22</v>
      </c>
      <c r="C140" s="85"/>
      <c r="D140" s="183">
        <f>D31</f>
        <v>1528</v>
      </c>
      <c r="E140" s="85"/>
      <c r="F140" s="85"/>
      <c r="G140" s="85"/>
    </row>
    <row r="141" spans="1:7">
      <c r="A141" s="178" t="s">
        <v>31</v>
      </c>
      <c r="B141" s="85" t="s">
        <v>47</v>
      </c>
      <c r="C141" s="85"/>
      <c r="D141" s="183">
        <f>D72</f>
        <v>1360.26</v>
      </c>
      <c r="E141" s="85"/>
      <c r="F141" s="85"/>
      <c r="G141" s="85"/>
    </row>
    <row r="142" spans="1:7">
      <c r="A142" s="178" t="s">
        <v>34</v>
      </c>
      <c r="B142" s="85" t="s">
        <v>94</v>
      </c>
      <c r="C142" s="85"/>
      <c r="D142" s="183">
        <f>D82</f>
        <v>95.2</v>
      </c>
      <c r="E142" s="85"/>
      <c r="F142" s="85"/>
      <c r="G142" s="85"/>
    </row>
    <row r="143" spans="1:7">
      <c r="A143" s="178" t="s">
        <v>36</v>
      </c>
      <c r="B143" s="85" t="s">
        <v>160</v>
      </c>
      <c r="C143" s="85"/>
      <c r="D143" s="183">
        <f>D109</f>
        <v>78.98</v>
      </c>
      <c r="E143" s="85"/>
      <c r="F143" s="85"/>
      <c r="G143" s="85"/>
    </row>
    <row r="144" spans="1:7">
      <c r="A144" s="178" t="s">
        <v>39</v>
      </c>
      <c r="B144" s="85" t="s">
        <v>138</v>
      </c>
      <c r="C144" s="85"/>
      <c r="D144" s="183">
        <f>D118</f>
        <v>215.33</v>
      </c>
      <c r="E144" s="85"/>
      <c r="F144" s="85"/>
      <c r="G144" s="85"/>
    </row>
    <row r="145" spans="1:7">
      <c r="A145" s="85"/>
      <c r="B145" s="216" t="s">
        <v>161</v>
      </c>
      <c r="C145" s="85"/>
      <c r="D145" s="183">
        <f>TRUNC(SUM(D140:D144),2)</f>
        <v>3277.77</v>
      </c>
      <c r="E145" s="85"/>
      <c r="F145" s="85"/>
      <c r="G145" s="85"/>
    </row>
    <row r="146" spans="1:7">
      <c r="A146" s="178" t="s">
        <v>41</v>
      </c>
      <c r="B146" s="85" t="s">
        <v>150</v>
      </c>
      <c r="C146" s="85"/>
      <c r="D146" s="183">
        <f>D135</f>
        <v>622.94</v>
      </c>
      <c r="E146" s="85"/>
      <c r="F146" s="85"/>
      <c r="G146" s="85"/>
    </row>
    <row r="147" spans="1:7">
      <c r="A147" s="217"/>
      <c r="B147" s="218" t="s">
        <v>217</v>
      </c>
      <c r="C147" s="217"/>
      <c r="D147" s="219">
        <f>TRUNC((SUM(D140:D144)+D146),2)</f>
        <v>3900.71</v>
      </c>
      <c r="E147" s="85"/>
      <c r="F147" s="85"/>
      <c r="G147" s="85"/>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47"/>
  <sheetViews>
    <sheetView workbookViewId="0">
      <selection activeCell="D147" sqref="A2:D147"/>
    </sheetView>
  </sheetViews>
  <sheetFormatPr defaultColWidth="8.88571428571429" defaultRowHeight="15"/>
  <cols>
    <col min="1" max="1" width="10.7142857142857" customWidth="1"/>
    <col min="2" max="2" width="55.4285714285714" customWidth="1"/>
    <col min="3" max="3" width="29.3333333333333" customWidth="1"/>
    <col min="4" max="4" width="32.5714285714286" customWidth="1"/>
    <col min="6" max="6" width="20.3333333333333" customWidth="1"/>
    <col min="7" max="7" width="16.1142857142857" customWidth="1"/>
    <col min="8" max="8" width="12.2190476190476" customWidth="1"/>
    <col min="9" max="9" width="11.3333333333333" customWidth="1"/>
  </cols>
  <sheetData>
    <row r="1" spans="1:7">
      <c r="A1" s="85"/>
      <c r="B1" s="85"/>
      <c r="C1" s="85"/>
      <c r="D1" s="85"/>
      <c r="E1" s="85"/>
      <c r="F1" s="85"/>
      <c r="G1" s="85"/>
    </row>
    <row r="2" ht="19.5" spans="1:7">
      <c r="A2" s="154" t="s">
        <v>163</v>
      </c>
      <c r="B2" s="154"/>
      <c r="C2" s="154"/>
      <c r="D2" s="154"/>
      <c r="E2" s="85"/>
      <c r="F2" s="85"/>
      <c r="G2" s="85"/>
    </row>
    <row r="3" ht="15.75" spans="1:7">
      <c r="A3" s="155" t="s">
        <v>228</v>
      </c>
      <c r="B3" s="155"/>
      <c r="C3" s="155"/>
      <c r="D3" s="155"/>
      <c r="E3" s="85"/>
      <c r="F3" s="85"/>
      <c r="G3" s="85"/>
    </row>
    <row r="4" spans="1:7">
      <c r="A4" s="156" t="s">
        <v>165</v>
      </c>
      <c r="B4" s="157" t="s">
        <v>166</v>
      </c>
      <c r="C4" s="158"/>
      <c r="D4" s="158"/>
      <c r="E4" s="85"/>
      <c r="F4" s="85"/>
      <c r="G4" s="85"/>
    </row>
    <row r="5" spans="1:7">
      <c r="A5" s="159"/>
      <c r="B5" s="160"/>
      <c r="C5" s="160"/>
      <c r="D5" s="160"/>
      <c r="E5" s="85"/>
      <c r="F5" s="85"/>
      <c r="G5" s="85"/>
    </row>
    <row r="6" ht="15.75" spans="1:7">
      <c r="A6" s="161" t="s">
        <v>167</v>
      </c>
      <c r="B6" s="161"/>
      <c r="C6" s="161"/>
      <c r="D6" s="161"/>
      <c r="E6" s="85"/>
      <c r="F6" s="85"/>
      <c r="G6" s="85"/>
    </row>
    <row r="7" ht="15.75" spans="1:7">
      <c r="A7" s="162" t="s">
        <v>28</v>
      </c>
      <c r="B7" s="163" t="s">
        <v>168</v>
      </c>
      <c r="C7" s="164" t="s">
        <v>169</v>
      </c>
      <c r="D7" s="164"/>
      <c r="E7" s="85"/>
      <c r="F7" s="85"/>
      <c r="G7" s="85"/>
    </row>
    <row r="8" spans="1:7">
      <c r="A8" s="165" t="s">
        <v>31</v>
      </c>
      <c r="B8" s="166" t="s">
        <v>170</v>
      </c>
      <c r="C8" s="167" t="s">
        <v>171</v>
      </c>
      <c r="D8" s="167"/>
      <c r="E8" s="85"/>
      <c r="F8" s="85"/>
      <c r="G8" s="85"/>
    </row>
    <row r="9" spans="1:7">
      <c r="A9" s="168" t="s">
        <v>34</v>
      </c>
      <c r="B9" s="169" t="s">
        <v>172</v>
      </c>
      <c r="C9" s="167" t="s">
        <v>229</v>
      </c>
      <c r="D9" s="167"/>
      <c r="E9" s="85"/>
      <c r="F9" s="85"/>
      <c r="G9" s="85"/>
    </row>
    <row r="10" spans="1:7">
      <c r="A10" s="165" t="s">
        <v>39</v>
      </c>
      <c r="B10" s="166" t="s">
        <v>174</v>
      </c>
      <c r="C10" s="167" t="s">
        <v>175</v>
      </c>
      <c r="D10" s="167"/>
      <c r="E10" s="85"/>
      <c r="F10" s="85"/>
      <c r="G10" s="85"/>
    </row>
    <row r="11" ht="15.75" spans="1:7">
      <c r="A11" s="170" t="s">
        <v>176</v>
      </c>
      <c r="B11" s="170"/>
      <c r="C11" s="170"/>
      <c r="D11" s="170"/>
      <c r="E11" s="85"/>
      <c r="F11" s="85"/>
      <c r="G11" s="85"/>
    </row>
    <row r="12" ht="16.5" spans="1:7">
      <c r="A12" s="171" t="s">
        <v>177</v>
      </c>
      <c r="B12" s="171"/>
      <c r="C12" s="170" t="s">
        <v>178</v>
      </c>
      <c r="D12" s="172" t="s">
        <v>179</v>
      </c>
      <c r="E12" s="85"/>
      <c r="F12" s="85"/>
      <c r="G12" s="85"/>
    </row>
    <row r="13" ht="15.75" spans="1:7">
      <c r="A13" s="173" t="s">
        <v>239</v>
      </c>
      <c r="B13" s="173"/>
      <c r="C13" s="167" t="s">
        <v>181</v>
      </c>
      <c r="D13" s="174">
        <f>RESUMO!D9</f>
        <v>1</v>
      </c>
      <c r="E13" s="85"/>
      <c r="F13" s="85"/>
      <c r="G13" s="85"/>
    </row>
    <row r="14" spans="1:7">
      <c r="A14" s="175"/>
      <c r="B14" s="175"/>
      <c r="C14" s="167"/>
      <c r="D14" s="176"/>
      <c r="E14" s="85"/>
      <c r="F14" s="85"/>
      <c r="G14" s="85"/>
    </row>
    <row r="15" ht="15.75" spans="1:7">
      <c r="A15" s="170" t="s">
        <v>0</v>
      </c>
      <c r="B15" s="170"/>
      <c r="C15" s="170"/>
      <c r="D15" s="170"/>
      <c r="E15" s="85"/>
      <c r="F15" s="177"/>
      <c r="G15" s="177"/>
    </row>
    <row r="16" ht="15.75" spans="1:7">
      <c r="A16" s="178" t="s">
        <v>2</v>
      </c>
      <c r="B16" s="85" t="s">
        <v>3</v>
      </c>
      <c r="C16" s="178" t="s">
        <v>4</v>
      </c>
      <c r="D16" s="178" t="s">
        <v>5</v>
      </c>
      <c r="E16" s="85"/>
      <c r="F16" s="85"/>
      <c r="G16" s="85"/>
    </row>
    <row r="17" spans="1:7">
      <c r="A17" s="178">
        <v>1</v>
      </c>
      <c r="B17" s="85" t="s">
        <v>6</v>
      </c>
      <c r="C17" s="179" t="s">
        <v>88</v>
      </c>
      <c r="D17" s="179" t="str">
        <f>A13</f>
        <v>Técnico Mecânico em Refrigeração</v>
      </c>
      <c r="E17" s="85"/>
      <c r="F17" s="85"/>
      <c r="G17" s="85"/>
    </row>
    <row r="18" spans="1:7">
      <c r="A18" s="178">
        <v>2</v>
      </c>
      <c r="B18" s="85" t="s">
        <v>9</v>
      </c>
      <c r="C18" s="179" t="s">
        <v>182</v>
      </c>
      <c r="D18" s="179" t="s">
        <v>240</v>
      </c>
      <c r="E18" s="85"/>
      <c r="F18" s="85"/>
      <c r="G18" s="85"/>
    </row>
    <row r="19" spans="1:7">
      <c r="A19" s="178">
        <v>3</v>
      </c>
      <c r="B19" s="85" t="s">
        <v>12</v>
      </c>
      <c r="C19" s="179" t="str">
        <f>C9</f>
        <v>CCT PB 000047/2021</v>
      </c>
      <c r="D19" s="180">
        <v>1528</v>
      </c>
      <c r="E19" s="85"/>
      <c r="F19" s="85"/>
      <c r="G19" s="85"/>
    </row>
    <row r="20" spans="1:7">
      <c r="A20" s="178">
        <v>4</v>
      </c>
      <c r="B20" s="85" t="s">
        <v>15</v>
      </c>
      <c r="C20" s="179" t="str">
        <f>C9</f>
        <v>CCT PB 000047/2021</v>
      </c>
      <c r="D20" s="179" t="s">
        <v>184</v>
      </c>
      <c r="E20" s="85"/>
      <c r="F20" s="85"/>
      <c r="G20" s="85"/>
    </row>
    <row r="21" spans="1:7">
      <c r="A21" s="178">
        <v>5</v>
      </c>
      <c r="B21" s="85" t="s">
        <v>19</v>
      </c>
      <c r="C21" s="179" t="str">
        <f>C9</f>
        <v>CCT PB 000047/2021</v>
      </c>
      <c r="D21" s="181" t="s">
        <v>185</v>
      </c>
      <c r="E21" s="85"/>
      <c r="F21" s="85"/>
      <c r="G21" s="85"/>
    </row>
    <row r="22" spans="1:7">
      <c r="A22" s="85"/>
      <c r="B22" s="85"/>
      <c r="C22" s="85"/>
      <c r="D22" s="85"/>
      <c r="E22" s="85"/>
      <c r="F22" s="177"/>
      <c r="G22" s="177"/>
    </row>
    <row r="23" spans="1:7">
      <c r="A23" s="161" t="s">
        <v>22</v>
      </c>
      <c r="B23" s="161"/>
      <c r="C23" s="161"/>
      <c r="D23" s="161"/>
      <c r="E23" s="85"/>
      <c r="F23" s="85"/>
      <c r="G23" s="85"/>
    </row>
    <row r="24" spans="1:7">
      <c r="A24" s="178" t="s">
        <v>25</v>
      </c>
      <c r="B24" s="85" t="s">
        <v>26</v>
      </c>
      <c r="C24" s="178" t="s">
        <v>4</v>
      </c>
      <c r="D24" s="178" t="s">
        <v>5</v>
      </c>
      <c r="E24" s="85"/>
      <c r="F24" s="85"/>
      <c r="G24" s="182"/>
    </row>
    <row r="25" spans="1:7">
      <c r="A25" s="178" t="s">
        <v>28</v>
      </c>
      <c r="B25" s="85" t="s">
        <v>29</v>
      </c>
      <c r="C25" s="179" t="s">
        <v>232</v>
      </c>
      <c r="D25" s="180">
        <f>D19</f>
        <v>1528</v>
      </c>
      <c r="E25" s="85"/>
      <c r="F25" s="85"/>
      <c r="G25" s="182"/>
    </row>
    <row r="26" spans="1:7">
      <c r="A26" s="178" t="s">
        <v>31</v>
      </c>
      <c r="B26" s="85" t="s">
        <v>32</v>
      </c>
      <c r="C26" s="179"/>
      <c r="D26" s="180">
        <v>0</v>
      </c>
      <c r="E26" s="85"/>
      <c r="F26" s="85"/>
      <c r="G26" s="182"/>
    </row>
    <row r="27" spans="1:7">
      <c r="A27" s="178" t="s">
        <v>34</v>
      </c>
      <c r="B27" s="85" t="s">
        <v>35</v>
      </c>
      <c r="C27" s="179"/>
      <c r="D27" s="180">
        <v>0</v>
      </c>
      <c r="E27" s="85"/>
      <c r="F27" s="85"/>
      <c r="G27" s="85"/>
    </row>
    <row r="28" spans="1:7">
      <c r="A28" s="178" t="s">
        <v>36</v>
      </c>
      <c r="B28" s="85" t="s">
        <v>37</v>
      </c>
      <c r="C28" s="179"/>
      <c r="D28" s="180">
        <v>0</v>
      </c>
      <c r="E28" s="85"/>
      <c r="F28" s="85"/>
      <c r="G28" s="85"/>
    </row>
    <row r="29" spans="1:7">
      <c r="A29" s="178" t="s">
        <v>39</v>
      </c>
      <c r="B29" s="85" t="s">
        <v>40</v>
      </c>
      <c r="C29" s="179"/>
      <c r="D29" s="180">
        <v>0</v>
      </c>
      <c r="E29" s="85"/>
      <c r="F29" s="85"/>
      <c r="G29" s="85"/>
    </row>
    <row r="30" spans="1:7">
      <c r="A30" s="178" t="s">
        <v>41</v>
      </c>
      <c r="B30" s="85" t="s">
        <v>42</v>
      </c>
      <c r="C30" s="179"/>
      <c r="D30" s="180">
        <v>0</v>
      </c>
      <c r="E30" s="85"/>
      <c r="F30" s="85"/>
      <c r="G30" s="85"/>
    </row>
    <row r="31" spans="1:7">
      <c r="A31" s="178" t="s">
        <v>44</v>
      </c>
      <c r="B31" s="85"/>
      <c r="C31" s="178"/>
      <c r="D31" s="183">
        <f>TRUNC(SUM(D25:D30),2)</f>
        <v>1528</v>
      </c>
      <c r="E31" s="85"/>
      <c r="F31" s="177"/>
      <c r="G31" s="177"/>
    </row>
    <row r="32" spans="1:7">
      <c r="A32" s="85"/>
      <c r="B32" s="85"/>
      <c r="C32" s="85"/>
      <c r="D32" s="85"/>
      <c r="E32" s="85"/>
      <c r="F32" s="85"/>
      <c r="G32" s="85"/>
    </row>
    <row r="33" spans="1:7">
      <c r="A33" s="184" t="s">
        <v>47</v>
      </c>
      <c r="B33" s="184"/>
      <c r="C33" s="184"/>
      <c r="D33" s="184"/>
      <c r="E33" s="85"/>
      <c r="F33" s="85"/>
      <c r="G33" s="182"/>
    </row>
    <row r="34" spans="1:7">
      <c r="A34" s="85"/>
      <c r="B34" s="85"/>
      <c r="C34" s="85"/>
      <c r="D34" s="85"/>
      <c r="E34" s="85"/>
      <c r="F34" s="85"/>
      <c r="G34" s="85"/>
    </row>
    <row r="35" spans="1:7">
      <c r="A35" s="177" t="s">
        <v>49</v>
      </c>
      <c r="B35" s="177"/>
      <c r="C35" s="177"/>
      <c r="D35" s="177"/>
      <c r="E35" s="85"/>
      <c r="F35" s="85"/>
      <c r="G35" s="85"/>
    </row>
    <row r="36" spans="1:7">
      <c r="A36" s="178" t="s">
        <v>51</v>
      </c>
      <c r="B36" s="85" t="s">
        <v>52</v>
      </c>
      <c r="C36" s="178" t="s">
        <v>24</v>
      </c>
      <c r="D36" s="178" t="s">
        <v>5</v>
      </c>
      <c r="E36" s="85"/>
      <c r="F36" s="85"/>
      <c r="G36" s="85"/>
    </row>
    <row r="37" spans="1:7">
      <c r="A37" s="178" t="s">
        <v>28</v>
      </c>
      <c r="B37" s="85" t="s">
        <v>53</v>
      </c>
      <c r="C37" s="185">
        <f>(1/12)</f>
        <v>0.0833333333333333</v>
      </c>
      <c r="D37" s="183">
        <f>TRUNC($D$31*C37,2)</f>
        <v>127.33</v>
      </c>
      <c r="E37" s="85"/>
      <c r="F37" s="186"/>
      <c r="G37" s="186"/>
    </row>
    <row r="38" spans="1:7">
      <c r="A38" s="178" t="s">
        <v>31</v>
      </c>
      <c r="B38" s="85" t="s">
        <v>54</v>
      </c>
      <c r="C38" s="185">
        <f>(((1+1/3)/12))</f>
        <v>0.111111111111111</v>
      </c>
      <c r="D38" s="183">
        <f>TRUNC($D$31*C38,2)</f>
        <v>169.77</v>
      </c>
      <c r="E38" s="85"/>
      <c r="F38" s="186"/>
      <c r="G38" s="186"/>
    </row>
    <row r="39" spans="1:7">
      <c r="A39" s="178" t="s">
        <v>44</v>
      </c>
      <c r="B39" s="85"/>
      <c r="C39" s="85"/>
      <c r="D39" s="183">
        <f>TRUNC((SUM(D37:D38)),2)</f>
        <v>297.1</v>
      </c>
      <c r="E39" s="85"/>
      <c r="F39" s="186"/>
      <c r="G39" s="186"/>
    </row>
    <row r="40" ht="15.75" spans="1:7">
      <c r="A40" s="85"/>
      <c r="B40" s="85"/>
      <c r="C40" s="85"/>
      <c r="D40" s="183"/>
      <c r="E40" s="85"/>
      <c r="F40" s="186"/>
      <c r="G40" s="186"/>
    </row>
    <row r="41" ht="16.5" spans="1:7">
      <c r="A41" s="187" t="s">
        <v>187</v>
      </c>
      <c r="B41" s="187"/>
      <c r="C41" s="188" t="s">
        <v>188</v>
      </c>
      <c r="D41" s="189">
        <f>D31</f>
        <v>1528</v>
      </c>
      <c r="E41" s="85"/>
      <c r="F41" s="186"/>
      <c r="G41" s="186"/>
    </row>
    <row r="42" ht="16.5" spans="1:7">
      <c r="A42" s="187"/>
      <c r="B42" s="187"/>
      <c r="C42" s="190" t="s">
        <v>189</v>
      </c>
      <c r="D42" s="189">
        <f>D39</f>
        <v>297.1</v>
      </c>
      <c r="E42" s="85"/>
      <c r="F42" s="186"/>
      <c r="G42" s="186"/>
    </row>
    <row r="43" ht="16.5" spans="1:7">
      <c r="A43" s="187"/>
      <c r="B43" s="187"/>
      <c r="C43" s="188" t="s">
        <v>190</v>
      </c>
      <c r="D43" s="191">
        <f>TRUNC((SUM(D41:D42)),2)</f>
        <v>1825.1</v>
      </c>
      <c r="E43" s="85"/>
      <c r="F43" s="186"/>
      <c r="G43" s="186"/>
    </row>
    <row r="44" ht="15.75" spans="1:7">
      <c r="A44" s="178"/>
      <c r="B44" s="85"/>
      <c r="C44" s="192"/>
      <c r="D44" s="183"/>
      <c r="E44" s="85"/>
      <c r="F44" s="186"/>
      <c r="G44" s="186"/>
    </row>
    <row r="45" spans="1:7">
      <c r="A45" s="177" t="s">
        <v>63</v>
      </c>
      <c r="B45" s="177"/>
      <c r="C45" s="177"/>
      <c r="D45" s="177"/>
      <c r="E45" s="85"/>
      <c r="F45" s="85"/>
      <c r="G45" s="85"/>
    </row>
    <row r="46" spans="1:7">
      <c r="A46" s="178" t="s">
        <v>64</v>
      </c>
      <c r="B46" s="85" t="s">
        <v>65</v>
      </c>
      <c r="C46" s="178" t="s">
        <v>24</v>
      </c>
      <c r="D46" s="178" t="s">
        <v>66</v>
      </c>
      <c r="E46" s="85"/>
      <c r="F46" s="85"/>
      <c r="G46" s="85"/>
    </row>
    <row r="47" spans="1:7">
      <c r="A47" s="178" t="s">
        <v>28</v>
      </c>
      <c r="B47" s="85" t="s">
        <v>67</v>
      </c>
      <c r="C47" s="185">
        <v>0.2</v>
      </c>
      <c r="D47" s="183">
        <f t="shared" ref="D47:D54" si="0">TRUNC(($D$43*C47),2)</f>
        <v>365.02</v>
      </c>
      <c r="E47" s="85"/>
      <c r="F47" s="85"/>
      <c r="G47" s="85"/>
    </row>
    <row r="48" spans="1:7">
      <c r="A48" s="178" t="s">
        <v>31</v>
      </c>
      <c r="B48" s="85" t="s">
        <v>68</v>
      </c>
      <c r="C48" s="185">
        <v>0.025</v>
      </c>
      <c r="D48" s="183">
        <f t="shared" si="0"/>
        <v>45.62</v>
      </c>
      <c r="E48" s="85"/>
      <c r="F48" s="85"/>
      <c r="G48" s="85"/>
    </row>
    <row r="49" spans="1:7">
      <c r="A49" s="178" t="s">
        <v>34</v>
      </c>
      <c r="B49" s="85" t="s">
        <v>191</v>
      </c>
      <c r="C49" s="193">
        <v>0.06</v>
      </c>
      <c r="D49" s="180">
        <f t="shared" si="0"/>
        <v>109.5</v>
      </c>
      <c r="E49" s="85"/>
      <c r="F49" s="85"/>
      <c r="G49" s="85"/>
    </row>
    <row r="50" spans="1:7">
      <c r="A50" s="178" t="s">
        <v>36</v>
      </c>
      <c r="B50" s="85" t="s">
        <v>70</v>
      </c>
      <c r="C50" s="185">
        <v>0.015</v>
      </c>
      <c r="D50" s="183">
        <f t="shared" si="0"/>
        <v>27.37</v>
      </c>
      <c r="E50" s="85"/>
      <c r="F50" s="85"/>
      <c r="G50" s="85"/>
    </row>
    <row r="51" spans="1:7">
      <c r="A51" s="178" t="s">
        <v>39</v>
      </c>
      <c r="B51" s="85" t="s">
        <v>71</v>
      </c>
      <c r="C51" s="185">
        <v>0.01</v>
      </c>
      <c r="D51" s="183">
        <f t="shared" si="0"/>
        <v>18.25</v>
      </c>
      <c r="E51" s="85"/>
      <c r="F51" s="85"/>
      <c r="G51" s="85"/>
    </row>
    <row r="52" spans="1:7">
      <c r="A52" s="178" t="s">
        <v>41</v>
      </c>
      <c r="B52" s="85" t="s">
        <v>72</v>
      </c>
      <c r="C52" s="185">
        <v>0.006</v>
      </c>
      <c r="D52" s="183">
        <f t="shared" si="0"/>
        <v>10.95</v>
      </c>
      <c r="E52" s="85"/>
      <c r="F52" s="85"/>
      <c r="G52" s="85"/>
    </row>
    <row r="53" spans="1:7">
      <c r="A53" s="178" t="s">
        <v>73</v>
      </c>
      <c r="B53" s="85" t="s">
        <v>74</v>
      </c>
      <c r="C53" s="185">
        <v>0.002</v>
      </c>
      <c r="D53" s="183">
        <f t="shared" si="0"/>
        <v>3.65</v>
      </c>
      <c r="E53" s="85"/>
      <c r="F53" s="85"/>
      <c r="G53" s="85"/>
    </row>
    <row r="54" spans="1:7">
      <c r="A54" s="178" t="s">
        <v>75</v>
      </c>
      <c r="B54" s="85" t="s">
        <v>76</v>
      </c>
      <c r="C54" s="185">
        <v>0.08</v>
      </c>
      <c r="D54" s="183">
        <f t="shared" si="0"/>
        <v>146</v>
      </c>
      <c r="E54" s="85"/>
      <c r="F54" s="85"/>
      <c r="G54" s="85"/>
    </row>
    <row r="55" spans="1:7">
      <c r="A55" s="178" t="s">
        <v>44</v>
      </c>
      <c r="B55" s="85"/>
      <c r="C55" s="192">
        <f>SUM(C47:C54)</f>
        <v>0.398</v>
      </c>
      <c r="D55" s="183">
        <f>TRUNC((SUM(D47:D54)),2)</f>
        <v>726.36</v>
      </c>
      <c r="E55" s="85"/>
      <c r="F55" s="85"/>
      <c r="G55" s="85"/>
    </row>
    <row r="56" spans="1:7">
      <c r="A56" s="178"/>
      <c r="B56" s="85"/>
      <c r="C56" s="192"/>
      <c r="D56" s="183"/>
      <c r="E56" s="85"/>
      <c r="F56" s="85"/>
      <c r="G56" s="85"/>
    </row>
    <row r="57" spans="1:7">
      <c r="A57" s="177" t="s">
        <v>81</v>
      </c>
      <c r="B57" s="177"/>
      <c r="C57" s="177"/>
      <c r="D57" s="177"/>
      <c r="E57" s="85"/>
      <c r="F57" s="85"/>
      <c r="G57" s="85"/>
    </row>
    <row r="58" spans="1:7">
      <c r="A58" s="178" t="s">
        <v>82</v>
      </c>
      <c r="B58" s="85" t="s">
        <v>83</v>
      </c>
      <c r="C58" s="178" t="s">
        <v>4</v>
      </c>
      <c r="D58" s="178" t="s">
        <v>5</v>
      </c>
      <c r="E58" s="85"/>
      <c r="F58" s="85"/>
      <c r="G58" s="85"/>
    </row>
    <row r="59" spans="1:7">
      <c r="A59" s="178" t="s">
        <v>28</v>
      </c>
      <c r="B59" s="85" t="s">
        <v>84</v>
      </c>
      <c r="C59" s="179"/>
      <c r="D59" s="180">
        <v>0</v>
      </c>
      <c r="E59" s="85"/>
      <c r="F59" s="85"/>
      <c r="G59" s="85"/>
    </row>
    <row r="60" spans="1:7">
      <c r="A60" s="178" t="s">
        <v>31</v>
      </c>
      <c r="B60" s="85" t="s">
        <v>85</v>
      </c>
      <c r="C60" s="179" t="str">
        <f>C9</f>
        <v>CCT PB 000047/2021</v>
      </c>
      <c r="D60" s="180">
        <f>TRUNC((((22*18))-(((22*18))*0.2)),2)</f>
        <v>316.8</v>
      </c>
      <c r="E60" s="85"/>
      <c r="F60" s="85"/>
      <c r="G60" s="85"/>
    </row>
    <row r="61" spans="1:7">
      <c r="A61" s="178" t="s">
        <v>34</v>
      </c>
      <c r="B61" s="85" t="s">
        <v>86</v>
      </c>
      <c r="C61" s="179"/>
      <c r="D61" s="180">
        <v>0</v>
      </c>
      <c r="E61" s="85"/>
      <c r="F61" s="85"/>
      <c r="G61" s="85"/>
    </row>
    <row r="62" spans="1:7">
      <c r="A62" s="86" t="s">
        <v>36</v>
      </c>
      <c r="B62" s="195" t="s">
        <v>234</v>
      </c>
      <c r="C62" s="194"/>
      <c r="D62" s="194">
        <v>0</v>
      </c>
      <c r="E62" s="85"/>
      <c r="F62" s="195"/>
      <c r="G62" s="85"/>
    </row>
    <row r="63" spans="1:7">
      <c r="A63" s="178" t="s">
        <v>39</v>
      </c>
      <c r="B63" s="85" t="s">
        <v>193</v>
      </c>
      <c r="C63" s="179" t="str">
        <f>C9</f>
        <v>CCT PB 000047/2021</v>
      </c>
      <c r="D63" s="220">
        <v>15</v>
      </c>
      <c r="E63" s="85"/>
      <c r="F63" s="85"/>
      <c r="G63" s="85"/>
    </row>
    <row r="64" spans="1:7">
      <c r="A64" s="178" t="s">
        <v>41</v>
      </c>
      <c r="B64" s="197" t="s">
        <v>194</v>
      </c>
      <c r="C64" s="194" t="str">
        <f>C9</f>
        <v>CCT PB 000047/2021</v>
      </c>
      <c r="D64" s="220">
        <v>5</v>
      </c>
      <c r="E64" s="85"/>
      <c r="F64" s="85"/>
      <c r="G64" s="85"/>
    </row>
    <row r="65" spans="1:7">
      <c r="A65" s="178" t="s">
        <v>44</v>
      </c>
      <c r="B65" s="85"/>
      <c r="C65" s="85"/>
      <c r="D65" s="183">
        <f>TRUNC((SUM(D59:D64)),2)</f>
        <v>336.8</v>
      </c>
      <c r="E65" s="85"/>
      <c r="F65" s="85"/>
      <c r="G65" s="85"/>
    </row>
    <row r="66" spans="1:7">
      <c r="A66" s="178"/>
      <c r="B66" s="85"/>
      <c r="C66" s="85"/>
      <c r="D66" s="183"/>
      <c r="E66" s="85"/>
      <c r="F66" s="85"/>
      <c r="G66" s="85"/>
    </row>
    <row r="67" spans="1:7">
      <c r="A67" s="177" t="s">
        <v>91</v>
      </c>
      <c r="B67" s="177"/>
      <c r="C67" s="177"/>
      <c r="D67" s="177"/>
      <c r="E67" s="85"/>
      <c r="F67" s="85"/>
      <c r="G67" s="85"/>
    </row>
    <row r="68" spans="1:7">
      <c r="A68" s="178" t="s">
        <v>92</v>
      </c>
      <c r="B68" s="85" t="s">
        <v>93</v>
      </c>
      <c r="C68" s="178" t="s">
        <v>4</v>
      </c>
      <c r="D68" s="178" t="s">
        <v>5</v>
      </c>
      <c r="E68" s="85"/>
      <c r="F68" s="85"/>
      <c r="G68" s="85"/>
    </row>
    <row r="69" spans="1:7">
      <c r="A69" s="178" t="s">
        <v>51</v>
      </c>
      <c r="B69" s="85" t="s">
        <v>52</v>
      </c>
      <c r="C69" s="178"/>
      <c r="D69" s="183">
        <f>D39</f>
        <v>297.1</v>
      </c>
      <c r="E69" s="85"/>
      <c r="F69" s="85"/>
      <c r="G69" s="85"/>
    </row>
    <row r="70" spans="1:7">
      <c r="A70" s="178" t="s">
        <v>64</v>
      </c>
      <c r="B70" s="85" t="s">
        <v>65</v>
      </c>
      <c r="C70" s="178"/>
      <c r="D70" s="183">
        <f>D55</f>
        <v>726.36</v>
      </c>
      <c r="E70" s="85"/>
      <c r="F70" s="85"/>
      <c r="G70" s="85"/>
    </row>
    <row r="71" spans="1:7">
      <c r="A71" s="178" t="s">
        <v>82</v>
      </c>
      <c r="B71" s="85" t="s">
        <v>83</v>
      </c>
      <c r="C71" s="178"/>
      <c r="D71" s="183">
        <f>D65</f>
        <v>336.8</v>
      </c>
      <c r="E71" s="85"/>
      <c r="F71" s="85"/>
      <c r="G71" s="85"/>
    </row>
    <row r="72" spans="1:7">
      <c r="A72" s="178" t="s">
        <v>44</v>
      </c>
      <c r="B72" s="85"/>
      <c r="C72" s="178"/>
      <c r="D72" s="183">
        <f>TRUNC(SUM(D69:D71),2)</f>
        <v>1360.26</v>
      </c>
      <c r="E72" s="85"/>
      <c r="F72" s="85"/>
      <c r="G72" s="85"/>
    </row>
    <row r="73" spans="1:7">
      <c r="A73" s="85"/>
      <c r="B73" s="85"/>
      <c r="C73" s="85"/>
      <c r="D73" s="85"/>
      <c r="E73" s="85"/>
      <c r="F73" s="85"/>
      <c r="G73" s="85"/>
    </row>
    <row r="74" spans="1:7">
      <c r="A74" s="161" t="s">
        <v>94</v>
      </c>
      <c r="B74" s="161"/>
      <c r="C74" s="161"/>
      <c r="D74" s="161"/>
      <c r="E74" s="85"/>
      <c r="F74" s="85"/>
      <c r="G74" s="85"/>
    </row>
    <row r="75" spans="1:7">
      <c r="A75" s="178" t="s">
        <v>95</v>
      </c>
      <c r="B75" s="85" t="s">
        <v>96</v>
      </c>
      <c r="C75" s="178" t="s">
        <v>24</v>
      </c>
      <c r="D75" s="178" t="s">
        <v>5</v>
      </c>
      <c r="E75" s="85"/>
      <c r="F75" s="85"/>
      <c r="G75" s="85"/>
    </row>
    <row r="76" spans="1:7">
      <c r="A76" s="178" t="s">
        <v>28</v>
      </c>
      <c r="B76" s="85" t="s">
        <v>97</v>
      </c>
      <c r="C76" s="193">
        <f>((1/12)*5%)</f>
        <v>0.00416666666666667</v>
      </c>
      <c r="D76" s="194">
        <f t="shared" ref="D76:D79" si="1">TRUNC(($D$31*C76),2)</f>
        <v>6.36</v>
      </c>
      <c r="E76" s="85"/>
      <c r="F76" s="85"/>
      <c r="G76" s="85"/>
    </row>
    <row r="77" spans="1:7">
      <c r="A77" s="178" t="s">
        <v>31</v>
      </c>
      <c r="B77" s="85" t="s">
        <v>98</v>
      </c>
      <c r="C77" s="199">
        <v>0.08</v>
      </c>
      <c r="D77" s="198">
        <f>TRUNC(($D$76*C77),2)</f>
        <v>0.5</v>
      </c>
      <c r="E77" s="85"/>
      <c r="F77" s="85"/>
      <c r="G77" s="85"/>
    </row>
    <row r="78" ht="30" spans="1:7">
      <c r="A78" s="178" t="s">
        <v>34</v>
      </c>
      <c r="B78" s="200" t="s">
        <v>99</v>
      </c>
      <c r="C78" s="201">
        <f>(0.08*0.4*0.05)</f>
        <v>0.0016</v>
      </c>
      <c r="D78" s="194">
        <f t="shared" si="1"/>
        <v>2.44</v>
      </c>
      <c r="E78" s="85"/>
      <c r="F78" s="85"/>
      <c r="G78" s="85"/>
    </row>
    <row r="79" spans="1:7">
      <c r="A79" s="178" t="s">
        <v>36</v>
      </c>
      <c r="B79" s="85" t="s">
        <v>100</v>
      </c>
      <c r="C79" s="202">
        <f>(((7/30)/12)*0.95)</f>
        <v>0.0184722222222222</v>
      </c>
      <c r="D79" s="203">
        <f t="shared" si="1"/>
        <v>28.22</v>
      </c>
      <c r="E79" s="85"/>
      <c r="F79" s="85"/>
      <c r="G79" s="85"/>
    </row>
    <row r="80" ht="30" spans="1:7">
      <c r="A80" s="178" t="s">
        <v>39</v>
      </c>
      <c r="B80" s="200" t="s">
        <v>195</v>
      </c>
      <c r="C80" s="201">
        <f>C55</f>
        <v>0.398</v>
      </c>
      <c r="D80" s="194">
        <f>TRUNC(($D$79*C80),2)</f>
        <v>11.23</v>
      </c>
      <c r="E80" s="85"/>
      <c r="F80" s="85"/>
      <c r="G80" s="85"/>
    </row>
    <row r="81" ht="30" spans="1:7">
      <c r="A81" s="178" t="s">
        <v>41</v>
      </c>
      <c r="B81" s="200" t="s">
        <v>101</v>
      </c>
      <c r="C81" s="201">
        <f>(0.08*0.4*0.95)</f>
        <v>0.0304</v>
      </c>
      <c r="D81" s="194">
        <f>TRUNC(($D$31*C81),2)</f>
        <v>46.45</v>
      </c>
      <c r="E81" s="85"/>
      <c r="F81" s="85"/>
      <c r="G81" s="85"/>
    </row>
    <row r="82" spans="1:7">
      <c r="A82" s="178" t="s">
        <v>44</v>
      </c>
      <c r="B82" s="85"/>
      <c r="C82" s="199">
        <f>SUM(C76:C81)</f>
        <v>0.532638888888889</v>
      </c>
      <c r="D82" s="198">
        <f>TRUNC((SUM(D76:D81)),2)</f>
        <v>95.2</v>
      </c>
      <c r="E82" s="85"/>
      <c r="F82" s="85"/>
      <c r="G82" s="85"/>
    </row>
    <row r="83" ht="15.75" spans="1:7">
      <c r="A83" s="178"/>
      <c r="B83" s="85"/>
      <c r="C83" s="85"/>
      <c r="D83" s="183"/>
      <c r="E83" s="85"/>
      <c r="F83" s="85"/>
      <c r="G83" s="85"/>
    </row>
    <row r="84" ht="16.5" spans="1:7">
      <c r="A84" s="187" t="s">
        <v>196</v>
      </c>
      <c r="B84" s="187"/>
      <c r="C84" s="188" t="s">
        <v>188</v>
      </c>
      <c r="D84" s="189">
        <f>D31</f>
        <v>1528</v>
      </c>
      <c r="E84" s="85"/>
      <c r="F84" s="85"/>
      <c r="G84" s="85"/>
    </row>
    <row r="85" ht="16.5" spans="1:7">
      <c r="A85" s="187"/>
      <c r="B85" s="187"/>
      <c r="C85" s="190" t="s">
        <v>197</v>
      </c>
      <c r="D85" s="189">
        <f>D72</f>
        <v>1360.26</v>
      </c>
      <c r="E85" s="85"/>
      <c r="F85" s="85"/>
      <c r="G85" s="85"/>
    </row>
    <row r="86" ht="16.5" spans="1:7">
      <c r="A86" s="187"/>
      <c r="B86" s="187"/>
      <c r="C86" s="188" t="s">
        <v>198</v>
      </c>
      <c r="D86" s="189">
        <f>D82</f>
        <v>95.2</v>
      </c>
      <c r="E86" s="85"/>
      <c r="F86" s="85"/>
      <c r="G86" s="85"/>
    </row>
    <row r="87" ht="16.5" spans="1:7">
      <c r="A87" s="187"/>
      <c r="B87" s="187"/>
      <c r="C87" s="190" t="s">
        <v>190</v>
      </c>
      <c r="D87" s="191">
        <f>TRUNC((SUM(D84:D86)),2)</f>
        <v>2983.46</v>
      </c>
      <c r="E87" s="85"/>
      <c r="F87" s="85"/>
      <c r="G87" s="85"/>
    </row>
    <row r="88" ht="15.75" spans="1:7">
      <c r="A88" s="178"/>
      <c r="B88" s="85"/>
      <c r="C88" s="85"/>
      <c r="D88" s="183"/>
      <c r="E88" s="85"/>
      <c r="F88" s="85"/>
      <c r="G88" s="85"/>
    </row>
    <row r="89" spans="1:7">
      <c r="A89" s="204" t="s">
        <v>113</v>
      </c>
      <c r="B89" s="204"/>
      <c r="C89" s="204"/>
      <c r="D89" s="204"/>
      <c r="E89" s="85"/>
      <c r="F89" s="85"/>
      <c r="G89" s="85"/>
    </row>
    <row r="90" spans="1:7">
      <c r="A90" s="177" t="s">
        <v>114</v>
      </c>
      <c r="B90" s="177"/>
      <c r="C90" s="177"/>
      <c r="D90" s="177"/>
      <c r="E90" s="85"/>
      <c r="F90" s="85"/>
      <c r="G90" s="85"/>
    </row>
    <row r="91" spans="1:7">
      <c r="A91" s="178" t="s">
        <v>115</v>
      </c>
      <c r="B91" s="85" t="s">
        <v>116</v>
      </c>
      <c r="C91" s="178" t="s">
        <v>24</v>
      </c>
      <c r="D91" s="178" t="s">
        <v>5</v>
      </c>
      <c r="E91" s="85"/>
      <c r="F91" s="85"/>
      <c r="G91" s="85"/>
    </row>
    <row r="92" spans="1:7">
      <c r="A92" s="178" t="s">
        <v>28</v>
      </c>
      <c r="B92" s="85" t="s">
        <v>199</v>
      </c>
      <c r="C92" s="199">
        <f>(((1+1/3)/12)/12)+((1/12)/12)</f>
        <v>0.0162037037037037</v>
      </c>
      <c r="D92" s="183">
        <f t="shared" ref="D92:D96" si="2">TRUNC(($D$87*C92),2)</f>
        <v>48.34</v>
      </c>
      <c r="E92" s="85"/>
      <c r="F92" s="85"/>
      <c r="G92" s="85"/>
    </row>
    <row r="93" spans="1:7">
      <c r="A93" s="178" t="s">
        <v>31</v>
      </c>
      <c r="B93" s="85" t="s">
        <v>119</v>
      </c>
      <c r="C93" s="193">
        <f>((2/30)/12)</f>
        <v>0.00555555555555556</v>
      </c>
      <c r="D93" s="194">
        <f t="shared" si="2"/>
        <v>16.57</v>
      </c>
      <c r="E93" s="85"/>
      <c r="F93" s="85"/>
      <c r="G93" s="85"/>
    </row>
    <row r="94" spans="1:7">
      <c r="A94" s="178" t="s">
        <v>34</v>
      </c>
      <c r="B94" s="85" t="s">
        <v>120</v>
      </c>
      <c r="C94" s="193">
        <f>((5/30)/12)*0.02</f>
        <v>0.000277777777777778</v>
      </c>
      <c r="D94" s="194">
        <f t="shared" si="2"/>
        <v>0.82</v>
      </c>
      <c r="E94" s="85"/>
      <c r="F94" s="85"/>
      <c r="G94" s="85"/>
    </row>
    <row r="95" spans="1:7">
      <c r="A95" s="86" t="s">
        <v>36</v>
      </c>
      <c r="B95" s="200" t="s">
        <v>121</v>
      </c>
      <c r="C95" s="201">
        <f>((15/30)/12)*0.08</f>
        <v>0.00333333333333333</v>
      </c>
      <c r="D95" s="194">
        <f t="shared" si="2"/>
        <v>9.94</v>
      </c>
      <c r="E95" s="85"/>
      <c r="F95" s="85"/>
      <c r="G95" s="85"/>
    </row>
    <row r="96" spans="1:7">
      <c r="A96" s="178" t="s">
        <v>39</v>
      </c>
      <c r="B96" s="85" t="s">
        <v>122</v>
      </c>
      <c r="C96" s="193">
        <f>((1+1/3)/12)*0.03*((4/12))</f>
        <v>0.00111111111111111</v>
      </c>
      <c r="D96" s="194">
        <f t="shared" si="2"/>
        <v>3.31</v>
      </c>
      <c r="E96" s="85"/>
      <c r="F96" s="85"/>
      <c r="G96" s="85"/>
    </row>
    <row r="97" spans="1:7">
      <c r="A97" s="178" t="s">
        <v>41</v>
      </c>
      <c r="B97" s="200" t="s">
        <v>200</v>
      </c>
      <c r="C97" s="205">
        <v>0</v>
      </c>
      <c r="D97" s="194">
        <f>TRUNC($D$87*C97)</f>
        <v>0</v>
      </c>
      <c r="E97" s="85"/>
      <c r="F97" s="85"/>
      <c r="G97" s="85"/>
    </row>
    <row r="98" spans="1:7">
      <c r="A98" s="178" t="s">
        <v>44</v>
      </c>
      <c r="B98" s="85"/>
      <c r="C98" s="199">
        <f>SUM(C92:C97)</f>
        <v>0.0264814814814815</v>
      </c>
      <c r="D98" s="183">
        <f>TRUNC((SUM(D92:D97)),2)</f>
        <v>78.98</v>
      </c>
      <c r="E98" s="85"/>
      <c r="F98" s="85"/>
      <c r="G98" s="85"/>
    </row>
    <row r="99" spans="1:7">
      <c r="A99" s="178"/>
      <c r="B99" s="85"/>
      <c r="C99" s="178"/>
      <c r="D99" s="183"/>
      <c r="E99" s="85"/>
      <c r="F99" s="85"/>
      <c r="G99" s="85"/>
    </row>
    <row r="100" spans="1:7">
      <c r="A100" s="177" t="s">
        <v>130</v>
      </c>
      <c r="B100" s="177"/>
      <c r="C100" s="177"/>
      <c r="D100" s="177"/>
      <c r="E100" s="85"/>
      <c r="F100" s="85"/>
      <c r="G100" s="85"/>
    </row>
    <row r="101" spans="1:7">
      <c r="A101" s="178" t="s">
        <v>131</v>
      </c>
      <c r="B101" s="85" t="s">
        <v>132</v>
      </c>
      <c r="C101" s="178" t="s">
        <v>4</v>
      </c>
      <c r="D101" s="178" t="s">
        <v>5</v>
      </c>
      <c r="E101" s="85"/>
      <c r="F101" s="85"/>
      <c r="G101" s="85"/>
    </row>
    <row r="102" ht="90" spans="1:7">
      <c r="A102" s="86" t="s">
        <v>28</v>
      </c>
      <c r="B102" s="206" t="s">
        <v>133</v>
      </c>
      <c r="C102" s="207" t="s">
        <v>201</v>
      </c>
      <c r="D102" s="208" t="s">
        <v>202</v>
      </c>
      <c r="E102" s="85"/>
      <c r="F102" s="85"/>
      <c r="G102" s="85"/>
    </row>
    <row r="103" spans="1:7">
      <c r="A103" s="178" t="s">
        <v>44</v>
      </c>
      <c r="B103" s="85"/>
      <c r="C103" s="178"/>
      <c r="D103" s="209" t="str">
        <f>D102</f>
        <v>*=TRUNCAR(($D$86/220)*(1*(365/12))/2)</v>
      </c>
      <c r="E103" s="85"/>
      <c r="F103" s="85"/>
      <c r="G103" s="85"/>
    </row>
    <row r="104" spans="1:7">
      <c r="A104" s="85"/>
      <c r="B104" s="85"/>
      <c r="C104" s="85"/>
      <c r="D104" s="85"/>
      <c r="E104" s="85"/>
      <c r="F104" s="85"/>
      <c r="G104" s="85"/>
    </row>
    <row r="105" spans="1:7">
      <c r="A105" s="177" t="s">
        <v>134</v>
      </c>
      <c r="B105" s="177"/>
      <c r="C105" s="177"/>
      <c r="D105" s="177"/>
      <c r="E105" s="85"/>
      <c r="F105" s="85"/>
      <c r="G105" s="85"/>
    </row>
    <row r="106" spans="1:7">
      <c r="A106" s="178" t="s">
        <v>135</v>
      </c>
      <c r="B106" s="85" t="s">
        <v>136</v>
      </c>
      <c r="C106" s="178" t="s">
        <v>4</v>
      </c>
      <c r="D106" s="178" t="s">
        <v>5</v>
      </c>
      <c r="E106" s="85"/>
      <c r="F106" s="85"/>
      <c r="G106" s="85"/>
    </row>
    <row r="107" spans="1:7">
      <c r="A107" s="178" t="s">
        <v>115</v>
      </c>
      <c r="B107" s="85" t="s">
        <v>116</v>
      </c>
      <c r="C107" s="85"/>
      <c r="D107" s="180">
        <f>D98</f>
        <v>78.98</v>
      </c>
      <c r="E107" s="85"/>
      <c r="F107" s="85"/>
      <c r="G107" s="85"/>
    </row>
    <row r="108" spans="1:7">
      <c r="A108" s="178" t="s">
        <v>131</v>
      </c>
      <c r="B108" s="85" t="s">
        <v>137</v>
      </c>
      <c r="C108" s="85"/>
      <c r="D108" s="210" t="str">
        <f>Submódulo4.260_812010244[[#Totals],[Valor]]</f>
        <v>*=TRUNCAR(($D$86/220)*(1*(365/12))/2)</v>
      </c>
      <c r="E108" s="85"/>
      <c r="F108" s="85"/>
      <c r="G108" s="85"/>
    </row>
    <row r="109" ht="60" spans="1:7">
      <c r="A109" s="86" t="s">
        <v>44</v>
      </c>
      <c r="B109" s="195"/>
      <c r="C109" s="207" t="s">
        <v>203</v>
      </c>
      <c r="D109" s="198">
        <f>TRUNC((SUM(D107:D108)),2)</f>
        <v>78.98</v>
      </c>
      <c r="E109" s="85"/>
      <c r="F109" s="85"/>
      <c r="G109" s="85"/>
    </row>
    <row r="110" spans="1:7">
      <c r="A110" s="85"/>
      <c r="B110" s="85"/>
      <c r="C110" s="85"/>
      <c r="D110" s="85"/>
      <c r="E110" s="85"/>
      <c r="F110" s="85"/>
      <c r="G110" s="85"/>
    </row>
    <row r="111" spans="1:7">
      <c r="A111" s="161" t="s">
        <v>138</v>
      </c>
      <c r="B111" s="161"/>
      <c r="C111" s="161"/>
      <c r="D111" s="161"/>
      <c r="E111" s="85"/>
      <c r="F111" s="85"/>
      <c r="G111" s="85"/>
    </row>
    <row r="112" ht="30.75" spans="1:9">
      <c r="A112" s="178" t="s">
        <v>139</v>
      </c>
      <c r="B112" s="85" t="s">
        <v>140</v>
      </c>
      <c r="C112" s="178" t="s">
        <v>4</v>
      </c>
      <c r="D112" s="178" t="s">
        <v>5</v>
      </c>
      <c r="E112" s="85"/>
      <c r="F112" s="221" t="s">
        <v>241</v>
      </c>
      <c r="G112" s="222" t="s">
        <v>242</v>
      </c>
      <c r="H112" s="222" t="s">
        <v>243</v>
      </c>
      <c r="I112" s="222" t="s">
        <v>244</v>
      </c>
    </row>
    <row r="113" ht="16.5" spans="1:9">
      <c r="A113" s="178" t="s">
        <v>28</v>
      </c>
      <c r="B113" s="85" t="s">
        <v>204</v>
      </c>
      <c r="C113" s="85"/>
      <c r="D113" s="180">
        <f>Uniformes!G144</f>
        <v>97.57</v>
      </c>
      <c r="E113" s="85"/>
      <c r="F113" s="223" t="s">
        <v>245</v>
      </c>
      <c r="G113" s="224">
        <v>84</v>
      </c>
      <c r="H113" s="225">
        <v>70</v>
      </c>
      <c r="I113" s="225">
        <f>TRUNC(H113*G113,2)</f>
        <v>5880</v>
      </c>
    </row>
    <row r="114" ht="16.5" spans="1:9">
      <c r="A114" s="178" t="s">
        <v>31</v>
      </c>
      <c r="B114" s="85" t="s">
        <v>205</v>
      </c>
      <c r="C114" s="85"/>
      <c r="D114" s="180">
        <f>EPC!E21</f>
        <v>8.97</v>
      </c>
      <c r="E114" s="85"/>
      <c r="F114" s="226" t="s">
        <v>246</v>
      </c>
      <c r="G114" s="227">
        <v>42</v>
      </c>
      <c r="H114" s="228">
        <v>35</v>
      </c>
      <c r="I114" s="225">
        <f>TRUNC(H114*G114,2)</f>
        <v>1470</v>
      </c>
    </row>
    <row r="115" ht="15.75" spans="1:9">
      <c r="A115" s="178" t="s">
        <v>34</v>
      </c>
      <c r="B115" s="85" t="s">
        <v>142</v>
      </c>
      <c r="C115" s="85"/>
      <c r="D115" s="180">
        <f>'Materiais e Equipamentos'!E93</f>
        <v>88.39</v>
      </c>
      <c r="E115" s="85"/>
      <c r="F115" s="229" t="s">
        <v>190</v>
      </c>
      <c r="G115" s="230"/>
      <c r="H115" s="231">
        <f>TRUNC(SUM(I113:I114),2)</f>
        <v>7350</v>
      </c>
      <c r="I115" s="233"/>
    </row>
    <row r="116" spans="1:9">
      <c r="A116" s="178" t="s">
        <v>36</v>
      </c>
      <c r="B116" s="85" t="s">
        <v>143</v>
      </c>
      <c r="C116" s="85"/>
      <c r="D116" s="180">
        <f>'Materiais e Equipamentos'!F124</f>
        <v>20.4</v>
      </c>
      <c r="E116" s="85"/>
      <c r="F116" s="229" t="s">
        <v>247</v>
      </c>
      <c r="G116" s="230"/>
      <c r="H116" s="231">
        <f>TRUNC(H115/12,2)</f>
        <v>612.5</v>
      </c>
      <c r="I116" s="233"/>
    </row>
    <row r="117" spans="1:9">
      <c r="A117" s="178" t="s">
        <v>39</v>
      </c>
      <c r="B117" s="85" t="s">
        <v>206</v>
      </c>
      <c r="C117" s="178" t="s">
        <v>248</v>
      </c>
      <c r="D117" s="180">
        <f>H116</f>
        <v>612.5</v>
      </c>
      <c r="E117" s="85"/>
      <c r="F117" s="232" t="s">
        <v>249</v>
      </c>
      <c r="G117" s="232"/>
      <c r="H117" s="232"/>
      <c r="I117" s="232"/>
    </row>
    <row r="118" spans="1:9">
      <c r="A118" s="178" t="s">
        <v>44</v>
      </c>
      <c r="B118" s="85"/>
      <c r="C118" s="85"/>
      <c r="D118" s="183">
        <f>TRUNC(SUM((D113:D117)),2)</f>
        <v>827.83</v>
      </c>
      <c r="E118" s="85"/>
      <c r="F118" s="232"/>
      <c r="G118" s="232"/>
      <c r="H118" s="232"/>
      <c r="I118" s="232"/>
    </row>
    <row r="119" ht="15.75" spans="1:7">
      <c r="A119" s="85"/>
      <c r="B119" s="85"/>
      <c r="C119" s="85"/>
      <c r="D119" s="85"/>
      <c r="E119" s="85"/>
      <c r="F119" s="85"/>
      <c r="G119" s="85"/>
    </row>
    <row r="120" ht="16.5" spans="1:7">
      <c r="A120" s="187" t="s">
        <v>207</v>
      </c>
      <c r="B120" s="187"/>
      <c r="C120" s="188" t="s">
        <v>188</v>
      </c>
      <c r="D120" s="189">
        <f>D31</f>
        <v>1528</v>
      </c>
      <c r="E120" s="85"/>
      <c r="F120" s="85"/>
      <c r="G120" s="85"/>
    </row>
    <row r="121" ht="16.5" spans="1:7">
      <c r="A121" s="187"/>
      <c r="B121" s="187"/>
      <c r="C121" s="190" t="s">
        <v>197</v>
      </c>
      <c r="D121" s="189">
        <f>D72</f>
        <v>1360.26</v>
      </c>
      <c r="E121" s="85"/>
      <c r="F121" s="85"/>
      <c r="G121" s="85"/>
    </row>
    <row r="122" ht="16.5" spans="1:7">
      <c r="A122" s="187"/>
      <c r="B122" s="187"/>
      <c r="C122" s="188" t="s">
        <v>198</v>
      </c>
      <c r="D122" s="189">
        <f>D82</f>
        <v>95.2</v>
      </c>
      <c r="E122" s="85"/>
      <c r="F122" s="85"/>
      <c r="G122" s="85"/>
    </row>
    <row r="123" ht="16.5" spans="1:7">
      <c r="A123" s="187"/>
      <c r="B123" s="187"/>
      <c r="C123" s="190" t="s">
        <v>208</v>
      </c>
      <c r="D123" s="189">
        <f>D109</f>
        <v>78.98</v>
      </c>
      <c r="E123" s="85"/>
      <c r="F123" s="85"/>
      <c r="G123" s="85"/>
    </row>
    <row r="124" ht="16.5" spans="1:7">
      <c r="A124" s="187"/>
      <c r="B124" s="187"/>
      <c r="C124" s="188" t="s">
        <v>209</v>
      </c>
      <c r="D124" s="189">
        <f>D118</f>
        <v>827.83</v>
      </c>
      <c r="E124" s="85"/>
      <c r="F124" s="85"/>
      <c r="G124" s="85"/>
    </row>
    <row r="125" ht="16.5" spans="1:7">
      <c r="A125" s="187"/>
      <c r="B125" s="187"/>
      <c r="C125" s="190" t="s">
        <v>190</v>
      </c>
      <c r="D125" s="191">
        <f>TRUNC((SUM(D120:D124)),2)</f>
        <v>3890.27</v>
      </c>
      <c r="E125" s="85"/>
      <c r="F125" s="85"/>
      <c r="G125" s="85"/>
    </row>
    <row r="126" ht="15.75" spans="1:7">
      <c r="A126" s="85"/>
      <c r="B126" s="85"/>
      <c r="C126" s="85"/>
      <c r="D126" s="85"/>
      <c r="E126" s="85"/>
      <c r="F126" s="85"/>
      <c r="G126" s="85"/>
    </row>
    <row r="127" spans="1:7">
      <c r="A127" s="161" t="s">
        <v>150</v>
      </c>
      <c r="B127" s="161"/>
      <c r="C127" s="161"/>
      <c r="D127" s="161"/>
      <c r="E127" s="85"/>
      <c r="F127" s="85"/>
      <c r="G127" s="85"/>
    </row>
    <row r="128" ht="15.75" spans="1:7">
      <c r="A128" s="178" t="s">
        <v>151</v>
      </c>
      <c r="B128" s="85" t="s">
        <v>152</v>
      </c>
      <c r="C128" s="178" t="s">
        <v>24</v>
      </c>
      <c r="D128" s="178" t="s">
        <v>5</v>
      </c>
      <c r="E128" s="85"/>
      <c r="F128" s="211" t="s">
        <v>210</v>
      </c>
      <c r="G128" s="211"/>
    </row>
    <row r="129" ht="15.75" spans="1:7">
      <c r="A129" s="178" t="s">
        <v>28</v>
      </c>
      <c r="B129" s="85" t="s">
        <v>153</v>
      </c>
      <c r="C129" s="193">
        <v>0.044</v>
      </c>
      <c r="D129" s="180">
        <f>TRUNC(($D$125*C129),2)</f>
        <v>171.17</v>
      </c>
      <c r="E129" s="85"/>
      <c r="F129" s="212" t="s">
        <v>211</v>
      </c>
      <c r="G129" s="201">
        <f>C131</f>
        <v>0.0865</v>
      </c>
    </row>
    <row r="130" ht="15.75" spans="1:7">
      <c r="A130" s="178" t="s">
        <v>31</v>
      </c>
      <c r="B130" s="85" t="s">
        <v>45</v>
      </c>
      <c r="C130" s="193">
        <v>0.0413</v>
      </c>
      <c r="D130" s="180">
        <f>TRUNC((C130*(D125+D129)),2)</f>
        <v>167.73</v>
      </c>
      <c r="E130" s="85"/>
      <c r="F130" s="213" t="s">
        <v>212</v>
      </c>
      <c r="G130" s="214">
        <f>TRUNC(SUM(D125,D129,D130),2)</f>
        <v>4229.17</v>
      </c>
    </row>
    <row r="131" ht="15.75" spans="1:7">
      <c r="A131" s="178" t="s">
        <v>34</v>
      </c>
      <c r="B131" s="85" t="s">
        <v>154</v>
      </c>
      <c r="C131" s="193">
        <f>SUM(C132:C134)</f>
        <v>0.0865</v>
      </c>
      <c r="D131" s="180">
        <f>TRUNC((SUM(D132:D134)),2)</f>
        <v>400.45</v>
      </c>
      <c r="E131" s="85"/>
      <c r="F131" s="212" t="s">
        <v>213</v>
      </c>
      <c r="G131" s="215">
        <f>(100-8.65)/100</f>
        <v>0.9135</v>
      </c>
    </row>
    <row r="132" ht="15.75" spans="1:7">
      <c r="A132" s="178"/>
      <c r="B132" s="85" t="s">
        <v>214</v>
      </c>
      <c r="C132" s="193">
        <v>0.0065</v>
      </c>
      <c r="D132" s="180">
        <f t="shared" ref="D132:D134" si="3">TRUNC(($G$132*C132),2)</f>
        <v>30.09</v>
      </c>
      <c r="E132" s="85"/>
      <c r="F132" s="213" t="s">
        <v>210</v>
      </c>
      <c r="G132" s="214">
        <f>TRUNC((G130/G131),2)</f>
        <v>4629.63</v>
      </c>
    </row>
    <row r="133" ht="15.75" spans="1:7">
      <c r="A133" s="178"/>
      <c r="B133" s="85" t="s">
        <v>215</v>
      </c>
      <c r="C133" s="193">
        <v>0.03</v>
      </c>
      <c r="D133" s="180">
        <f t="shared" si="3"/>
        <v>138.88</v>
      </c>
      <c r="E133" s="85"/>
      <c r="F133" s="85"/>
      <c r="G133" s="85"/>
    </row>
    <row r="134" spans="1:7">
      <c r="A134" s="178"/>
      <c r="B134" s="85" t="s">
        <v>216</v>
      </c>
      <c r="C134" s="193">
        <v>0.05</v>
      </c>
      <c r="D134" s="180">
        <f t="shared" si="3"/>
        <v>231.48</v>
      </c>
      <c r="E134" s="85"/>
      <c r="F134" s="85"/>
      <c r="G134" s="85"/>
    </row>
    <row r="135" spans="1:7">
      <c r="A135" s="178" t="s">
        <v>44</v>
      </c>
      <c r="B135" s="85"/>
      <c r="C135" s="178"/>
      <c r="D135" s="183">
        <f>TRUNC(SUM(D129:D131),2)</f>
        <v>739.35</v>
      </c>
      <c r="E135" s="85"/>
      <c r="F135" s="85"/>
      <c r="G135" s="85"/>
    </row>
    <row r="136" spans="1:7">
      <c r="A136" s="178"/>
      <c r="B136" s="85"/>
      <c r="C136" s="178"/>
      <c r="D136" s="183"/>
      <c r="E136" s="85"/>
      <c r="F136" s="85"/>
      <c r="G136" s="85"/>
    </row>
    <row r="137" spans="1:7">
      <c r="A137" s="85"/>
      <c r="B137" s="85"/>
      <c r="C137" s="85"/>
      <c r="D137" s="85"/>
      <c r="E137" s="85"/>
      <c r="F137" s="85"/>
      <c r="G137" s="85"/>
    </row>
    <row r="138" spans="1:7">
      <c r="A138" s="161" t="s">
        <v>158</v>
      </c>
      <c r="B138" s="161"/>
      <c r="C138" s="161"/>
      <c r="D138" s="161"/>
      <c r="E138" s="85"/>
      <c r="F138" s="85"/>
      <c r="G138" s="85"/>
    </row>
    <row r="139" spans="1:7">
      <c r="A139" s="178" t="s">
        <v>2</v>
      </c>
      <c r="B139" s="178" t="s">
        <v>159</v>
      </c>
      <c r="C139" s="178" t="s">
        <v>88</v>
      </c>
      <c r="D139" s="178" t="s">
        <v>5</v>
      </c>
      <c r="E139" s="85"/>
      <c r="F139" s="85"/>
      <c r="G139" s="85"/>
    </row>
    <row r="140" spans="1:7">
      <c r="A140" s="178" t="s">
        <v>28</v>
      </c>
      <c r="B140" s="85" t="s">
        <v>22</v>
      </c>
      <c r="C140" s="85"/>
      <c r="D140" s="183">
        <f>D31</f>
        <v>1528</v>
      </c>
      <c r="E140" s="85"/>
      <c r="F140" s="85"/>
      <c r="G140" s="85"/>
    </row>
    <row r="141" spans="1:7">
      <c r="A141" s="178" t="s">
        <v>31</v>
      </c>
      <c r="B141" s="85" t="s">
        <v>47</v>
      </c>
      <c r="C141" s="85"/>
      <c r="D141" s="183">
        <f>D72</f>
        <v>1360.26</v>
      </c>
      <c r="E141" s="85"/>
      <c r="F141" s="85"/>
      <c r="G141" s="85"/>
    </row>
    <row r="142" spans="1:7">
      <c r="A142" s="178" t="s">
        <v>34</v>
      </c>
      <c r="B142" s="85" t="s">
        <v>94</v>
      </c>
      <c r="C142" s="85"/>
      <c r="D142" s="183">
        <f>D82</f>
        <v>95.2</v>
      </c>
      <c r="E142" s="85"/>
      <c r="F142" s="85"/>
      <c r="G142" s="85"/>
    </row>
    <row r="143" spans="1:7">
      <c r="A143" s="178" t="s">
        <v>36</v>
      </c>
      <c r="B143" s="85" t="s">
        <v>160</v>
      </c>
      <c r="C143" s="85"/>
      <c r="D143" s="183">
        <f>D109</f>
        <v>78.98</v>
      </c>
      <c r="E143" s="85"/>
      <c r="F143" s="85"/>
      <c r="G143" s="85"/>
    </row>
    <row r="144" spans="1:7">
      <c r="A144" s="178" t="s">
        <v>39</v>
      </c>
      <c r="B144" s="85" t="s">
        <v>138</v>
      </c>
      <c r="C144" s="85"/>
      <c r="D144" s="183">
        <f>D118</f>
        <v>827.83</v>
      </c>
      <c r="E144" s="85"/>
      <c r="F144" s="85"/>
      <c r="G144" s="85"/>
    </row>
    <row r="145" spans="1:7">
      <c r="A145" s="85"/>
      <c r="B145" s="216" t="s">
        <v>161</v>
      </c>
      <c r="C145" s="85"/>
      <c r="D145" s="183">
        <f>TRUNC(SUM(D140:D144),2)</f>
        <v>3890.27</v>
      </c>
      <c r="E145" s="85"/>
      <c r="F145" s="85"/>
      <c r="G145" s="85"/>
    </row>
    <row r="146" spans="1:7">
      <c r="A146" s="178" t="s">
        <v>41</v>
      </c>
      <c r="B146" s="85" t="s">
        <v>150</v>
      </c>
      <c r="C146" s="85"/>
      <c r="D146" s="183">
        <f>D135</f>
        <v>739.35</v>
      </c>
      <c r="E146" s="85"/>
      <c r="F146" s="85"/>
      <c r="G146" s="85"/>
    </row>
    <row r="147" spans="1:7">
      <c r="A147" s="217"/>
      <c r="B147" s="218" t="s">
        <v>217</v>
      </c>
      <c r="C147" s="217"/>
      <c r="D147" s="219">
        <f>TRUNC((SUM(D140:D144)+D146),2)</f>
        <v>4629.62</v>
      </c>
      <c r="E147" s="85"/>
      <c r="F147" s="85"/>
      <c r="G147" s="85"/>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F115:G115"/>
    <mergeCell ref="H115:I115"/>
    <mergeCell ref="F116:G116"/>
    <mergeCell ref="H116:I116"/>
    <mergeCell ref="A127:D127"/>
    <mergeCell ref="F128:G128"/>
    <mergeCell ref="A138:D138"/>
    <mergeCell ref="A41:B43"/>
    <mergeCell ref="A84:B87"/>
    <mergeCell ref="A120:B125"/>
    <mergeCell ref="F117:I118"/>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docProps/app.xml><?xml version="1.0" encoding="utf-8"?>
<Properties xmlns="http://schemas.openxmlformats.org/officeDocument/2006/extended-properties" xmlns:vt="http://schemas.openxmlformats.org/officeDocument/2006/docPropsVTypes">
  <Application>WPS Spreadsheets</Application>
  <HeadingPairs>
    <vt:vector size="2" baseType="variant">
      <vt:variant>
        <vt:lpstr>工作表</vt:lpstr>
      </vt:variant>
      <vt:variant>
        <vt:i4>15</vt:i4>
      </vt:variant>
    </vt:vector>
  </HeadingPairs>
  <TitlesOfParts>
    <vt:vector size="15" baseType="lpstr">
      <vt:lpstr>Orientações</vt:lpstr>
      <vt:lpstr>Servente</vt:lpstr>
      <vt:lpstr>Auxiliar Administrativo</vt:lpstr>
      <vt:lpstr>Portaria</vt:lpstr>
      <vt:lpstr>Motorista Interestadual</vt:lpstr>
      <vt:lpstr>Eletricista</vt:lpstr>
      <vt:lpstr>Pedreiro</vt:lpstr>
      <vt:lpstr>Pintor</vt:lpstr>
      <vt:lpstr>Técnico em Refrigeração</vt:lpstr>
      <vt:lpstr>Jardineiro</vt:lpstr>
      <vt:lpstr>Diárias</vt:lpstr>
      <vt:lpstr>Uniformes</vt:lpstr>
      <vt:lpstr>Materiais e Equipamentos</vt:lpstr>
      <vt:lpstr>EPC</vt:lpstr>
      <vt:lpstr>RESUMO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IFPB</cp:lastModifiedBy>
  <dcterms:created xsi:type="dcterms:W3CDTF">2021-07-15T12:13:00Z</dcterms:created>
  <dcterms:modified xsi:type="dcterms:W3CDTF">2021-07-27T13:15:53Z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1046-11.2.0.10223</vt:lpwstr>
  </property>
</Properties>
</file>